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showInkAnnotation="0" defaultThemeVersion="124226"/>
  <bookViews>
    <workbookView xWindow="-15" yWindow="-15" windowWidth="19440" windowHeight="10350" activeTab="1"/>
  </bookViews>
  <sheets>
    <sheet name="2019" sheetId="5" r:id="rId1"/>
    <sheet name="stat de personal" sheetId="2" r:id="rId2"/>
    <sheet name="stat personal amanuntit" sheetId="3" r:id="rId3"/>
    <sheet name="Sheet1" sheetId="4" r:id="rId4"/>
  </sheets>
  <definedNames>
    <definedName name="_xlnm.Print_Area" localSheetId="1">'stat de personal'!$A$1:$N$29</definedName>
  </definedNames>
  <calcPr calcId="125725"/>
</workbook>
</file>

<file path=xl/calcChain.xml><?xml version="1.0" encoding="utf-8"?>
<calcChain xmlns="http://schemas.openxmlformats.org/spreadsheetml/2006/main">
  <c r="N22" i="2"/>
  <c r="K22" l="1"/>
  <c r="L22"/>
  <c r="M22"/>
  <c r="M21"/>
  <c r="M19"/>
  <c r="M17"/>
  <c r="M15"/>
  <c r="M14"/>
  <c r="M12"/>
  <c r="K21"/>
  <c r="K19"/>
  <c r="K17"/>
  <c r="K15"/>
  <c r="K12"/>
  <c r="K14"/>
  <c r="AJ9" i="5"/>
  <c r="X5" l="1"/>
  <c r="AD3"/>
  <c r="AD4"/>
  <c r="X6"/>
  <c r="Y6" s="1"/>
  <c r="Z6" s="1"/>
  <c r="AA6" s="1"/>
  <c r="AB6" s="1"/>
  <c r="X7"/>
  <c r="Y7" s="1"/>
  <c r="Z7" s="1"/>
  <c r="AA7" s="1"/>
  <c r="AB7" s="1"/>
  <c r="X8"/>
  <c r="Y8" s="1"/>
  <c r="Z8" s="1"/>
  <c r="AA8" s="1"/>
  <c r="AB8" s="1"/>
  <c r="Y5"/>
  <c r="Z5" s="1"/>
  <c r="AA5" s="1"/>
  <c r="AB5" s="1"/>
  <c r="AD7" l="1"/>
  <c r="AD6"/>
  <c r="AD5"/>
  <c r="AD9" s="1"/>
  <c r="AD8"/>
  <c r="AI9"/>
  <c r="V3"/>
  <c r="AE3" l="1"/>
  <c r="AF3"/>
  <c r="AH3" s="1"/>
  <c r="G8"/>
  <c r="G7"/>
  <c r="G6"/>
  <c r="G5"/>
  <c r="F4"/>
  <c r="G4" s="1"/>
  <c r="H4" s="1"/>
  <c r="T3"/>
  <c r="F3"/>
  <c r="G3" s="1"/>
  <c r="H3" s="1"/>
  <c r="I3" l="1"/>
  <c r="I4"/>
  <c r="H7"/>
  <c r="I7" s="1"/>
  <c r="H5"/>
  <c r="I5" s="1"/>
  <c r="J5" s="1"/>
  <c r="H6"/>
  <c r="I6" s="1"/>
  <c r="H8"/>
  <c r="I8" s="1"/>
  <c r="Y3" i="3"/>
  <c r="Y4"/>
  <c r="Y5"/>
  <c r="Y6"/>
  <c r="Y7"/>
  <c r="Y2"/>
  <c r="Z2" s="1"/>
  <c r="H7"/>
  <c r="K8" i="5" l="1"/>
  <c r="L8" s="1"/>
  <c r="M8" s="1"/>
  <c r="O8" s="1"/>
  <c r="K5"/>
  <c r="L5" s="1"/>
  <c r="M5" s="1"/>
  <c r="O5" s="1"/>
  <c r="P5" s="1"/>
  <c r="Q5" s="1"/>
  <c r="R5" s="1"/>
  <c r="T5" s="1"/>
  <c r="U5" s="1"/>
  <c r="V5" s="1"/>
  <c r="J6"/>
  <c r="K6" s="1"/>
  <c r="L6" s="1"/>
  <c r="M6" s="1"/>
  <c r="O6" s="1"/>
  <c r="P6" s="1"/>
  <c r="Q6" s="1"/>
  <c r="R6" s="1"/>
  <c r="T6" s="1"/>
  <c r="U6" s="1"/>
  <c r="V6" s="1"/>
  <c r="K7"/>
  <c r="L7" s="1"/>
  <c r="M7" s="1"/>
  <c r="O7" s="1"/>
  <c r="P7" s="1"/>
  <c r="Q7" s="1"/>
  <c r="R7" s="1"/>
  <c r="T7" s="1"/>
  <c r="U7" s="1"/>
  <c r="V7" s="1"/>
  <c r="K4"/>
  <c r="L4" s="1"/>
  <c r="M4" s="1"/>
  <c r="O4" s="1"/>
  <c r="P4" s="1"/>
  <c r="Q4" s="1"/>
  <c r="R4" s="1"/>
  <c r="T4" s="1"/>
  <c r="U4" s="1"/>
  <c r="V4" s="1"/>
  <c r="K3"/>
  <c r="L3" s="1"/>
  <c r="H6" i="3"/>
  <c r="AE7" i="5" l="1"/>
  <c r="AF7" s="1"/>
  <c r="AH7" s="1"/>
  <c r="AE5"/>
  <c r="AF5" s="1"/>
  <c r="AH5" s="1"/>
  <c r="AE4"/>
  <c r="AF4" s="1"/>
  <c r="AH4" s="1"/>
  <c r="AE6"/>
  <c r="AF6" s="1"/>
  <c r="AH6" s="1"/>
  <c r="M3"/>
  <c r="O3" s="1"/>
  <c r="P8"/>
  <c r="Q8" s="1"/>
  <c r="R8" s="1"/>
  <c r="T8" s="1"/>
  <c r="U8" s="1"/>
  <c r="V8" s="1"/>
  <c r="J7" i="3"/>
  <c r="V9" i="5" l="1"/>
  <c r="AE8"/>
  <c r="AG9"/>
  <c r="P3"/>
  <c r="Q3" s="1"/>
  <c r="R3" s="1"/>
  <c r="W4" i="3"/>
  <c r="AF8" i="5" l="1"/>
  <c r="AH8" s="1"/>
  <c r="AH9" s="1"/>
  <c r="AE9"/>
  <c r="U9"/>
  <c r="M14" s="1"/>
  <c r="M15" s="1"/>
  <c r="M17" s="1"/>
  <c r="M18" s="1"/>
  <c r="M19" s="1"/>
  <c r="K4" i="3"/>
  <c r="AF9" i="5" l="1"/>
  <c r="U3" i="3"/>
  <c r="V3" s="1"/>
  <c r="U4"/>
  <c r="V4" s="1"/>
  <c r="U2"/>
  <c r="V2" s="1"/>
  <c r="S4"/>
  <c r="S3" l="1"/>
  <c r="S2"/>
  <c r="R3"/>
  <c r="R2"/>
  <c r="F2"/>
  <c r="G2" s="1"/>
  <c r="F7"/>
  <c r="G7" s="1"/>
  <c r="F6"/>
  <c r="G6" s="1"/>
  <c r="F5"/>
  <c r="G5" s="1"/>
  <c r="F4"/>
  <c r="G4" s="1"/>
  <c r="F3"/>
  <c r="G3" s="1"/>
  <c r="H4" l="1"/>
  <c r="J4" s="1"/>
  <c r="J6"/>
  <c r="J3"/>
  <c r="H3"/>
  <c r="H5"/>
  <c r="J5" s="1"/>
  <c r="K5" s="1"/>
  <c r="J2"/>
  <c r="H2"/>
  <c r="K7" l="1"/>
  <c r="L7" s="1"/>
  <c r="M7" s="1"/>
  <c r="N7" s="1"/>
  <c r="K2"/>
  <c r="L2" s="1"/>
  <c r="M2" s="1"/>
  <c r="N2" s="1"/>
  <c r="P2" s="1"/>
  <c r="Q2" s="1"/>
  <c r="L5"/>
  <c r="M5" s="1"/>
  <c r="N5" s="1"/>
  <c r="P5" s="1"/>
  <c r="Q5" s="1"/>
  <c r="R5" s="1"/>
  <c r="S5" s="1"/>
  <c r="U5" s="1"/>
  <c r="V5" s="1"/>
  <c r="W5" s="1"/>
  <c r="L3"/>
  <c r="M3" s="1"/>
  <c r="N3" s="1"/>
  <c r="P3" s="1"/>
  <c r="Q3" s="1"/>
  <c r="K3"/>
  <c r="K6"/>
  <c r="L6" s="1"/>
  <c r="M6" s="1"/>
  <c r="N6" s="1"/>
  <c r="P6" s="1"/>
  <c r="Q6" s="1"/>
  <c r="R6" s="1"/>
  <c r="S6" s="1"/>
  <c r="U6" s="1"/>
  <c r="V6" s="1"/>
  <c r="W6" s="1"/>
  <c r="L4"/>
  <c r="M4" s="1"/>
  <c r="N4" s="1"/>
  <c r="P4" s="1"/>
  <c r="Q4" s="1"/>
  <c r="R4" s="1"/>
  <c r="P7" l="1"/>
  <c r="Q7" s="1"/>
  <c r="R7" s="1"/>
  <c r="S7" s="1"/>
  <c r="B17" i="2"/>
  <c r="U7" i="3" l="1"/>
  <c r="V7" s="1"/>
  <c r="W7" s="1"/>
  <c r="W8" s="1"/>
  <c r="N13" s="1"/>
  <c r="B21" i="2"/>
  <c r="A21"/>
  <c r="N14" i="3" l="1"/>
  <c r="N16" s="1"/>
  <c r="N17" l="1"/>
  <c r="N18" s="1"/>
</calcChain>
</file>

<file path=xl/sharedStrings.xml><?xml version="1.0" encoding="utf-8"?>
<sst xmlns="http://schemas.openxmlformats.org/spreadsheetml/2006/main" count="169" uniqueCount="98">
  <si>
    <t>Stat de personal</t>
  </si>
  <si>
    <t>CFP</t>
  </si>
  <si>
    <t xml:space="preserve">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</si>
  <si>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</si>
  <si>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Intocmit</t>
  </si>
  <si>
    <t xml:space="preserve">Director executiv adjunct </t>
  </si>
  <si>
    <t>* col A cuprinde nr de posturi pe agentie, col B numar de posturi pe compartimente</t>
  </si>
  <si>
    <t>TOTAL</t>
  </si>
  <si>
    <t>Centrul Regional de Formare Profesionala a Adultilor Mures</t>
  </si>
  <si>
    <t>RUSU RAMONA</t>
  </si>
  <si>
    <t>RITEA AVRAM SORIN</t>
  </si>
  <si>
    <t>MUNTEAN MARINELA</t>
  </si>
  <si>
    <t xml:space="preserve">Director </t>
  </si>
  <si>
    <t>CORE LUMINITA ZOITA</t>
  </si>
  <si>
    <t>BAIA BIANCA MARIA</t>
  </si>
  <si>
    <t>RAMONA RUSU</t>
  </si>
  <si>
    <t>Inspector de Specialitate</t>
  </si>
  <si>
    <t>Compartiment FORMARE PROFESIONALA</t>
  </si>
  <si>
    <t>Compartiment RESURSE UMANE SI SALARIZARE</t>
  </si>
  <si>
    <t>Compartiment FINANCIAR CONTABIL</t>
  </si>
  <si>
    <t xml:space="preserve">nr.crt. </t>
  </si>
  <si>
    <t>numele</t>
  </si>
  <si>
    <t>prenumele</t>
  </si>
  <si>
    <t>functia</t>
  </si>
  <si>
    <t>spor vech. %</t>
  </si>
  <si>
    <t>spor cond.</t>
  </si>
  <si>
    <t>spor CFP</t>
  </si>
  <si>
    <t>RUSU</t>
  </si>
  <si>
    <t>RAMONA</t>
  </si>
  <si>
    <t>CORE</t>
  </si>
  <si>
    <t>LUMINITA</t>
  </si>
  <si>
    <t xml:space="preserve">MARGINEAN </t>
  </si>
  <si>
    <t>MONICA</t>
  </si>
  <si>
    <t>BAIA</t>
  </si>
  <si>
    <t>RITEA</t>
  </si>
  <si>
    <t>SORIN</t>
  </si>
  <si>
    <t xml:space="preserve">MUNTEAN </t>
  </si>
  <si>
    <t>MARINELA</t>
  </si>
  <si>
    <t>BIANCA</t>
  </si>
  <si>
    <t>total 1</t>
  </si>
  <si>
    <t>total 2</t>
  </si>
  <si>
    <t>total 3</t>
  </si>
  <si>
    <t>3/15%</t>
  </si>
  <si>
    <t>5/25%</t>
  </si>
  <si>
    <t>sal. -25% 03.07.2010</t>
  </si>
  <si>
    <t>sal. +15% 01.01.2011</t>
  </si>
  <si>
    <t>total 4</t>
  </si>
  <si>
    <t>stim.fct. 01.01.2011</t>
  </si>
  <si>
    <t>maj.8%  01.06.2012</t>
  </si>
  <si>
    <t>maj. 7,4% 01.12.2012</t>
  </si>
  <si>
    <t>maj.10% 01.12.2015</t>
  </si>
  <si>
    <t>sal. incadrare</t>
  </si>
  <si>
    <t>od. Buc.  01.08.2016</t>
  </si>
  <si>
    <t>grad.</t>
  </si>
  <si>
    <t>total 5</t>
  </si>
  <si>
    <t>Inspector de Specialitate, grad IA</t>
  </si>
  <si>
    <t>Inspector de Specialitate, grad II</t>
  </si>
  <si>
    <t>Inspector de Specialitate, grad I</t>
  </si>
  <si>
    <t>DIRECTOR ADJUNCT, GRAD II</t>
  </si>
  <si>
    <t>DIRECTOR ,GRAD II</t>
  </si>
  <si>
    <t>01.12.2017</t>
  </si>
  <si>
    <t>maj.15% 01.12.2017</t>
  </si>
  <si>
    <t>maj.25% 01.01.2018</t>
  </si>
  <si>
    <t>BUGET 2019</t>
  </si>
  <si>
    <t>persoane</t>
  </si>
  <si>
    <t>majorari</t>
  </si>
  <si>
    <t>contributi asiguratori</t>
  </si>
  <si>
    <t>DIRECTOR ADJUNCT ,GRAD II</t>
  </si>
  <si>
    <t>ind.Hrana 01.12.2018</t>
  </si>
  <si>
    <t>maj1/4 01.01.2019</t>
  </si>
  <si>
    <t>spor vech.</t>
  </si>
  <si>
    <t>ind.Hrana 01.01.2019</t>
  </si>
  <si>
    <t>sal.fct. fara spor cfp 31.12.2018</t>
  </si>
  <si>
    <t xml:space="preserve">lg. 153/2017 MAX. 2022  </t>
  </si>
  <si>
    <t>gr I</t>
  </si>
  <si>
    <t>gr II</t>
  </si>
  <si>
    <t>gr III</t>
  </si>
  <si>
    <t>gr IV</t>
  </si>
  <si>
    <t>gr V</t>
  </si>
  <si>
    <t>-</t>
  </si>
  <si>
    <t>gr.vh.</t>
  </si>
  <si>
    <t>lg. 153/2017 MAX. 2022 15%complexitate</t>
  </si>
  <si>
    <t>sal.baza     01.01.2019</t>
  </si>
  <si>
    <t>cfp dec 2018</t>
  </si>
  <si>
    <t>valabil pana la data de 28.02.2019</t>
  </si>
  <si>
    <t>Indemnizatie de hrana conf. Legii 153/2017</t>
  </si>
  <si>
    <t>Nr. crt.</t>
  </si>
  <si>
    <t>Functia de executie reincadrata conf. Legii 153/2017</t>
  </si>
  <si>
    <t xml:space="preserve">Nume/Prenumele </t>
  </si>
  <si>
    <t>Sal.baza 31.12.2018</t>
  </si>
  <si>
    <t>1/4 din diferenta 01.01.2019</t>
  </si>
  <si>
    <t>Gr. Vch.</t>
  </si>
  <si>
    <t xml:space="preserve">MARGINEAN MONICA </t>
  </si>
  <si>
    <t>Functia de conducere reincadrata conf. Legii 153/2017</t>
  </si>
  <si>
    <t>Sal.baza 2022 L. 153/2017</t>
  </si>
  <si>
    <t xml:space="preserve">  Vouchere de vacanta conf. L. 153/2017</t>
  </si>
  <si>
    <t>Salariu 01.02.2019</t>
  </si>
  <si>
    <t>Total Brut 01.02.2019</t>
  </si>
</sst>
</file>

<file path=xl/styles.xml><?xml version="1.0" encoding="utf-8"?>
<styleSheet xmlns="http://schemas.openxmlformats.org/spreadsheetml/2006/main">
  <fonts count="25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92D050"/>
      <name val="Trebuchet MS"/>
      <family val="2"/>
    </font>
    <font>
      <b/>
      <i/>
      <sz val="10"/>
      <name val="Trebuchet MS"/>
      <family val="2"/>
    </font>
    <font>
      <b/>
      <i/>
      <sz val="10"/>
      <color theme="1"/>
      <name val="Trebuchet MS"/>
      <family val="2"/>
    </font>
    <font>
      <sz val="10"/>
      <color theme="1"/>
      <name val="Trebuchet MS"/>
      <family val="2"/>
    </font>
    <font>
      <sz val="10"/>
      <name val="Trebuchet MS"/>
      <family val="2"/>
    </font>
    <font>
      <b/>
      <i/>
      <sz val="10"/>
      <color rgb="FFFF0000"/>
      <name val="Trebuchet MS"/>
      <family val="2"/>
    </font>
    <font>
      <b/>
      <i/>
      <sz val="10"/>
      <color rgb="FFC00000"/>
      <name val="Trebuchet MS"/>
      <family val="2"/>
    </font>
    <font>
      <b/>
      <i/>
      <sz val="10"/>
      <color rgb="FF00B0F0"/>
      <name val="Trebuchet MS"/>
      <family val="2"/>
    </font>
    <font>
      <b/>
      <i/>
      <sz val="10"/>
      <color rgb="FF00B050"/>
      <name val="Trebuchet MS"/>
      <family val="2"/>
    </font>
    <font>
      <b/>
      <i/>
      <sz val="10"/>
      <color theme="9"/>
      <name val="Trebuchet MS"/>
      <family val="2"/>
    </font>
    <font>
      <b/>
      <sz val="10"/>
      <color rgb="FFFF0000"/>
      <name val="Trebuchet MS"/>
      <family val="2"/>
    </font>
    <font>
      <b/>
      <sz val="10"/>
      <color rgb="FFC00000"/>
      <name val="Trebuchet MS"/>
      <family val="2"/>
    </font>
    <font>
      <b/>
      <sz val="10"/>
      <color rgb="FF00B0F0"/>
      <name val="Trebuchet MS"/>
      <family val="2"/>
    </font>
    <font>
      <b/>
      <sz val="10"/>
      <color rgb="FF00B050"/>
      <name val="Trebuchet MS"/>
      <family val="2"/>
    </font>
    <font>
      <b/>
      <sz val="10"/>
      <color theme="9"/>
      <name val="Trebuchet MS"/>
      <family val="2"/>
    </font>
    <font>
      <sz val="10"/>
      <color rgb="FFFF0000"/>
      <name val="Trebuchet MS"/>
      <family val="2"/>
    </font>
    <font>
      <b/>
      <u/>
      <sz val="10"/>
      <color theme="1"/>
      <name val="Trebuchet MS"/>
      <family val="2"/>
    </font>
    <font>
      <b/>
      <u/>
      <sz val="11"/>
      <color theme="1"/>
      <name val="Calibri"/>
      <family val="2"/>
      <scheme val="minor"/>
    </font>
    <font>
      <b/>
      <sz val="10"/>
      <color theme="1"/>
      <name val="Trebuchet MS"/>
      <family val="2"/>
    </font>
    <font>
      <b/>
      <i/>
      <u/>
      <sz val="10"/>
      <color theme="3" tint="0.39997558519241921"/>
      <name val="Trebuchet MS"/>
      <family val="2"/>
    </font>
    <font>
      <b/>
      <i/>
      <u/>
      <sz val="11"/>
      <color theme="5" tint="-0.249977111117893"/>
      <name val="Trebuchet MS"/>
      <family val="2"/>
    </font>
    <font>
      <b/>
      <sz val="10"/>
      <name val="Trebuchet MS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30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" fontId="3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1" fontId="10" fillId="0" borderId="0" xfId="0" applyNumberFormat="1" applyFont="1" applyFill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5" fillId="0" borderId="0" xfId="0" applyFont="1"/>
    <xf numFmtId="0" fontId="5" fillId="0" borderId="0" xfId="0" applyFont="1" applyFill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3" fontId="6" fillId="0" borderId="0" xfId="0" applyNumberFormat="1" applyFont="1" applyFill="1" applyAlignment="1">
      <alignment horizontal="right" vertical="center"/>
    </xf>
    <xf numFmtId="3" fontId="12" fillId="0" borderId="0" xfId="0" applyNumberFormat="1" applyFont="1" applyFill="1" applyAlignment="1">
      <alignment horizontal="right" vertical="center"/>
    </xf>
    <xf numFmtId="3" fontId="6" fillId="0" borderId="0" xfId="0" applyNumberFormat="1" applyFont="1" applyFill="1" applyAlignment="1">
      <alignment horizontal="center" vertical="center"/>
    </xf>
    <xf numFmtId="3" fontId="13" fillId="0" borderId="0" xfId="0" applyNumberFormat="1" applyFont="1" applyFill="1" applyAlignment="1">
      <alignment horizontal="right" vertical="center"/>
    </xf>
    <xf numFmtId="3" fontId="14" fillId="0" borderId="0" xfId="0" applyNumberFormat="1" applyFont="1" applyFill="1" applyAlignment="1">
      <alignment horizontal="center" vertical="center"/>
    </xf>
    <xf numFmtId="3" fontId="15" fillId="0" borderId="0" xfId="0" applyNumberFormat="1" applyFont="1" applyFill="1" applyAlignment="1">
      <alignment horizontal="right" vertical="center"/>
    </xf>
    <xf numFmtId="3" fontId="5" fillId="0" borderId="0" xfId="0" applyNumberFormat="1" applyFont="1" applyAlignment="1">
      <alignment horizontal="right" vertical="center"/>
    </xf>
    <xf numFmtId="3" fontId="16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1" fontId="6" fillId="0" borderId="0" xfId="0" applyNumberFormat="1" applyFont="1" applyFill="1" applyBorder="1" applyAlignment="1">
      <alignment horizontal="left" vertical="center" wrapText="1"/>
    </xf>
    <xf numFmtId="3" fontId="6" fillId="0" borderId="0" xfId="0" applyNumberFormat="1" applyFont="1" applyAlignment="1">
      <alignment horizontal="right" vertical="center"/>
    </xf>
    <xf numFmtId="3" fontId="5" fillId="2" borderId="0" xfId="0" applyNumberFormat="1" applyFont="1" applyFill="1" applyAlignment="1">
      <alignment horizontal="right" vertical="center"/>
    </xf>
    <xf numFmtId="3" fontId="5" fillId="0" borderId="0" xfId="0" applyNumberFormat="1" applyFont="1" applyFill="1" applyAlignment="1">
      <alignment horizontal="right" vertical="center"/>
    </xf>
    <xf numFmtId="3" fontId="6" fillId="2" borderId="0" xfId="0" applyNumberFormat="1" applyFont="1" applyFill="1" applyAlignment="1">
      <alignment horizontal="right" vertical="center"/>
    </xf>
    <xf numFmtId="3" fontId="3" fillId="0" borderId="0" xfId="0" applyNumberFormat="1" applyFont="1" applyFill="1" applyAlignment="1">
      <alignment horizontal="center" vertical="center"/>
    </xf>
    <xf numFmtId="3" fontId="4" fillId="2" borderId="0" xfId="0" applyNumberFormat="1" applyFont="1" applyFill="1" applyAlignment="1">
      <alignment horizontal="center" vertical="center"/>
    </xf>
    <xf numFmtId="3" fontId="5" fillId="0" borderId="0" xfId="0" applyNumberFormat="1" applyFont="1"/>
    <xf numFmtId="4" fontId="5" fillId="0" borderId="0" xfId="0" applyNumberFormat="1" applyFont="1"/>
    <xf numFmtId="9" fontId="5" fillId="0" borderId="0" xfId="0" applyNumberFormat="1" applyFont="1"/>
    <xf numFmtId="3" fontId="17" fillId="2" borderId="0" xfId="0" applyNumberFormat="1" applyFont="1" applyFill="1"/>
    <xf numFmtId="0" fontId="17" fillId="2" borderId="0" xfId="0" applyFont="1" applyFill="1"/>
    <xf numFmtId="10" fontId="17" fillId="2" borderId="0" xfId="0" applyNumberFormat="1" applyFont="1" applyFill="1"/>
    <xf numFmtId="4" fontId="5" fillId="3" borderId="0" xfId="0" applyNumberFormat="1" applyFont="1" applyFill="1"/>
    <xf numFmtId="0" fontId="5" fillId="3" borderId="0" xfId="0" applyFont="1" applyFill="1"/>
    <xf numFmtId="4" fontId="5" fillId="4" borderId="0" xfId="0" applyNumberFormat="1" applyFont="1" applyFill="1"/>
    <xf numFmtId="0" fontId="5" fillId="4" borderId="0" xfId="0" applyFont="1" applyFill="1"/>
    <xf numFmtId="3" fontId="12" fillId="0" borderId="0" xfId="0" applyNumberFormat="1" applyFont="1"/>
    <xf numFmtId="0" fontId="5" fillId="0" borderId="0" xfId="0" applyFont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/>
    </xf>
    <xf numFmtId="0" fontId="18" fillId="2" borderId="15" xfId="0" applyFont="1" applyFill="1" applyBorder="1" applyAlignment="1">
      <alignment horizontal="center" vertical="center"/>
    </xf>
    <xf numFmtId="3" fontId="4" fillId="2" borderId="0" xfId="0" applyNumberFormat="1" applyFont="1" applyFill="1" applyAlignment="1">
      <alignment horizontal="right" vertical="center"/>
    </xf>
    <xf numFmtId="3" fontId="3" fillId="0" borderId="0" xfId="0" applyNumberFormat="1" applyFont="1" applyFill="1" applyAlignment="1">
      <alignment horizontal="right" vertical="center"/>
    </xf>
    <xf numFmtId="0" fontId="20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3" fontId="17" fillId="0" borderId="0" xfId="0" applyNumberFormat="1" applyFont="1"/>
    <xf numFmtId="0" fontId="5" fillId="0" borderId="0" xfId="0" applyFont="1" applyAlignment="1">
      <alignment horizontal="right" vertical="center"/>
    </xf>
    <xf numFmtId="0" fontId="21" fillId="0" borderId="0" xfId="0" applyFont="1" applyAlignment="1">
      <alignment horizontal="center" vertical="center" wrapText="1"/>
    </xf>
    <xf numFmtId="3" fontId="21" fillId="0" borderId="0" xfId="0" applyNumberFormat="1" applyFont="1" applyAlignment="1">
      <alignment horizontal="right" vertical="center"/>
    </xf>
    <xf numFmtId="3" fontId="21" fillId="0" borderId="0" xfId="0" applyNumberFormat="1" applyFont="1"/>
    <xf numFmtId="3" fontId="21" fillId="0" borderId="0" xfId="0" applyNumberFormat="1" applyFont="1" applyFill="1" applyAlignment="1">
      <alignment horizontal="right" vertical="center"/>
    </xf>
    <xf numFmtId="3" fontId="4" fillId="0" borderId="0" xfId="0" applyNumberFormat="1" applyFont="1" applyFill="1" applyAlignment="1">
      <alignment horizontal="right" vertical="center"/>
    </xf>
    <xf numFmtId="3" fontId="7" fillId="2" borderId="0" xfId="0" applyNumberFormat="1" applyFont="1" applyFill="1" applyAlignment="1">
      <alignment horizontal="right" vertical="center"/>
    </xf>
    <xf numFmtId="3" fontId="7" fillId="0" borderId="0" xfId="0" applyNumberFormat="1" applyFont="1" applyFill="1" applyAlignment="1">
      <alignment horizontal="right" vertical="center"/>
    </xf>
    <xf numFmtId="0" fontId="5" fillId="0" borderId="0" xfId="0" applyFont="1" applyAlignment="1">
      <alignment horizontal="center"/>
    </xf>
    <xf numFmtId="0" fontId="22" fillId="0" borderId="0" xfId="0" applyFont="1" applyAlignment="1">
      <alignment horizontal="center" vertical="center"/>
    </xf>
    <xf numFmtId="3" fontId="22" fillId="0" borderId="0" xfId="0" applyNumberFormat="1" applyFont="1"/>
    <xf numFmtId="0" fontId="23" fillId="0" borderId="0" xfId="0" applyFont="1" applyFill="1"/>
    <xf numFmtId="0" fontId="6" fillId="0" borderId="0" xfId="0" applyFont="1" applyFill="1"/>
    <xf numFmtId="1" fontId="23" fillId="0" borderId="0" xfId="0" applyNumberFormat="1" applyFont="1" applyFill="1" applyAlignment="1">
      <alignment horizontal="center"/>
    </xf>
    <xf numFmtId="0" fontId="23" fillId="0" borderId="12" xfId="1" applyFont="1" applyFill="1" applyBorder="1" applyAlignment="1">
      <alignment horizontal="center" vertical="center"/>
    </xf>
    <xf numFmtId="0" fontId="23" fillId="0" borderId="1" xfId="1" applyFont="1" applyFill="1" applyBorder="1" applyAlignment="1">
      <alignment horizontal="center" vertical="center"/>
    </xf>
    <xf numFmtId="1" fontId="23" fillId="0" borderId="1" xfId="0" applyNumberFormat="1" applyFont="1" applyFill="1" applyBorder="1" applyAlignment="1">
      <alignment horizontal="left" vertical="center"/>
    </xf>
    <xf numFmtId="1" fontId="6" fillId="0" borderId="1" xfId="0" applyNumberFormat="1" applyFont="1" applyFill="1" applyBorder="1" applyAlignment="1">
      <alignment horizontal="left" vertical="center" wrapText="1" shrinkToFit="1"/>
    </xf>
    <xf numFmtId="0" fontId="23" fillId="0" borderId="1" xfId="1" applyFont="1" applyFill="1" applyBorder="1" applyAlignment="1">
      <alignment horizontal="left" vertical="center"/>
    </xf>
    <xf numFmtId="3" fontId="23" fillId="0" borderId="1" xfId="1" applyNumberFormat="1" applyFont="1" applyFill="1" applyBorder="1" applyAlignment="1">
      <alignment horizontal="right" vertical="center"/>
    </xf>
    <xf numFmtId="3" fontId="23" fillId="2" borderId="1" xfId="1" applyNumberFormat="1" applyFont="1" applyFill="1" applyBorder="1" applyAlignment="1">
      <alignment horizontal="right" vertical="center"/>
    </xf>
    <xf numFmtId="3" fontId="23" fillId="0" borderId="1" xfId="0" applyNumberFormat="1" applyFont="1" applyFill="1" applyBorder="1" applyAlignment="1">
      <alignment horizontal="right" vertical="center"/>
    </xf>
    <xf numFmtId="3" fontId="12" fillId="0" borderId="1" xfId="1" applyNumberFormat="1" applyFont="1" applyFill="1" applyBorder="1" applyAlignment="1">
      <alignment horizontal="right" vertical="center"/>
    </xf>
    <xf numFmtId="3" fontId="23" fillId="0" borderId="13" xfId="0" applyNumberFormat="1" applyFont="1" applyFill="1" applyBorder="1" applyAlignment="1">
      <alignment horizontal="right" vertical="center"/>
    </xf>
    <xf numFmtId="1" fontId="23" fillId="0" borderId="13" xfId="0" applyNumberFormat="1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left" vertical="center"/>
    </xf>
    <xf numFmtId="1" fontId="6" fillId="0" borderId="1" xfId="0" applyNumberFormat="1" applyFont="1" applyFill="1" applyBorder="1" applyAlignment="1">
      <alignment horizontal="center" vertical="center"/>
    </xf>
    <xf numFmtId="0" fontId="23" fillId="0" borderId="2" xfId="1" applyFont="1" applyFill="1" applyBorder="1" applyAlignment="1">
      <alignment vertical="center"/>
    </xf>
    <xf numFmtId="1" fontId="6" fillId="0" borderId="1" xfId="0" applyNumberFormat="1" applyFont="1" applyFill="1" applyBorder="1" applyAlignment="1">
      <alignment vertical="center" wrapText="1" shrinkToFit="1"/>
    </xf>
    <xf numFmtId="1" fontId="23" fillId="0" borderId="1" xfId="0" applyNumberFormat="1" applyFont="1" applyFill="1" applyBorder="1" applyAlignment="1">
      <alignment vertical="center" wrapText="1" shrinkToFit="1"/>
    </xf>
    <xf numFmtId="1" fontId="23" fillId="0" borderId="1" xfId="0" applyNumberFormat="1" applyFont="1" applyFill="1" applyBorder="1" applyAlignment="1">
      <alignment horizontal="center" vertical="center"/>
    </xf>
    <xf numFmtId="3" fontId="23" fillId="0" borderId="6" xfId="0" applyNumberFormat="1" applyFont="1" applyFill="1" applyBorder="1" applyAlignment="1">
      <alignment horizontal="center"/>
    </xf>
    <xf numFmtId="3" fontId="6" fillId="0" borderId="6" xfId="0" applyNumberFormat="1" applyFont="1" applyFill="1" applyBorder="1"/>
    <xf numFmtId="3" fontId="6" fillId="0" borderId="6" xfId="0" applyNumberFormat="1" applyFont="1" applyFill="1" applyBorder="1" applyAlignment="1">
      <alignment horizontal="center"/>
    </xf>
    <xf numFmtId="3" fontId="23" fillId="0" borderId="6" xfId="0" applyNumberFormat="1" applyFont="1" applyFill="1" applyBorder="1" applyAlignment="1">
      <alignment horizontal="right"/>
    </xf>
    <xf numFmtId="3" fontId="20" fillId="0" borderId="7" xfId="0" applyNumberFormat="1" applyFont="1" applyFill="1" applyBorder="1"/>
    <xf numFmtId="0" fontId="5" fillId="0" borderId="0" xfId="0" applyFont="1" applyFill="1"/>
    <xf numFmtId="0" fontId="6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Fill="1" applyAlignment="1"/>
    <xf numFmtId="0" fontId="6" fillId="0" borderId="0" xfId="0" applyFont="1" applyFill="1" applyAlignment="1">
      <alignment horizontal="center"/>
    </xf>
    <xf numFmtId="0" fontId="23" fillId="0" borderId="0" xfId="0" applyFont="1" applyFill="1" applyAlignment="1">
      <alignment horizontal="center"/>
    </xf>
    <xf numFmtId="3" fontId="23" fillId="0" borderId="9" xfId="0" applyNumberFormat="1" applyFont="1" applyFill="1" applyBorder="1" applyAlignment="1">
      <alignment horizontal="right" vertical="center"/>
    </xf>
    <xf numFmtId="1" fontId="23" fillId="0" borderId="9" xfId="0" applyNumberFormat="1" applyFont="1" applyFill="1" applyBorder="1" applyAlignment="1">
      <alignment horizontal="center" vertical="center"/>
    </xf>
    <xf numFmtId="3" fontId="20" fillId="0" borderId="22" xfId="0" applyNumberFormat="1" applyFont="1" applyFill="1" applyBorder="1"/>
    <xf numFmtId="0" fontId="24" fillId="0" borderId="0" xfId="0" applyFont="1"/>
    <xf numFmtId="3" fontId="12" fillId="0" borderId="6" xfId="0" applyNumberFormat="1" applyFont="1" applyBorder="1"/>
    <xf numFmtId="0" fontId="18" fillId="2" borderId="0" xfId="0" applyFont="1" applyFill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0" fontId="18" fillId="2" borderId="16" xfId="0" applyFont="1" applyFill="1" applyBorder="1" applyAlignment="1">
      <alignment horizontal="center" vertical="center" wrapText="1"/>
    </xf>
    <xf numFmtId="0" fontId="19" fillId="2" borderId="17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2" borderId="0" xfId="0" applyFill="1" applyAlignment="1">
      <alignment wrapText="1"/>
    </xf>
    <xf numFmtId="49" fontId="23" fillId="0" borderId="20" xfId="1" applyNumberFormat="1" applyFont="1" applyFill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left" wrapText="1"/>
    </xf>
    <xf numFmtId="0" fontId="3" fillId="0" borderId="8" xfId="1" applyFont="1" applyFill="1" applyBorder="1" applyAlignment="1">
      <alignment horizontal="left" wrapText="1"/>
    </xf>
    <xf numFmtId="0" fontId="24" fillId="0" borderId="11" xfId="0" applyFont="1" applyBorder="1" applyAlignment="1">
      <alignment wrapText="1"/>
    </xf>
    <xf numFmtId="0" fontId="23" fillId="0" borderId="3" xfId="1" applyFont="1" applyFill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23" fillId="2" borderId="3" xfId="1" applyFont="1" applyFill="1" applyBorder="1" applyAlignment="1">
      <alignment horizontal="center" vertical="center" wrapText="1"/>
    </xf>
    <xf numFmtId="49" fontId="23" fillId="0" borderId="3" xfId="1" applyNumberFormat="1" applyFont="1" applyFill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left" vertical="center"/>
    </xf>
    <xf numFmtId="0" fontId="3" fillId="0" borderId="2" xfId="1" applyFont="1" applyFill="1" applyBorder="1" applyAlignment="1">
      <alignment horizontal="left" vertical="center"/>
    </xf>
    <xf numFmtId="0" fontId="23" fillId="0" borderId="14" xfId="1" applyFont="1" applyFill="1" applyBorder="1" applyAlignment="1">
      <alignment horizontal="left" vertical="center"/>
    </xf>
    <xf numFmtId="0" fontId="23" fillId="0" borderId="2" xfId="1" applyFont="1" applyFill="1" applyBorder="1" applyAlignment="1">
      <alignment horizontal="left" vertical="center"/>
    </xf>
    <xf numFmtId="0" fontId="23" fillId="0" borderId="9" xfId="1" applyFont="1" applyFill="1" applyBorder="1" applyAlignment="1">
      <alignment horizontal="left" vertical="center"/>
    </xf>
    <xf numFmtId="0" fontId="20" fillId="0" borderId="5" xfId="0" applyFont="1" applyFill="1" applyBorder="1" applyAlignment="1">
      <alignment horizontal="center"/>
    </xf>
    <xf numFmtId="0" fontId="20" fillId="0" borderId="6" xfId="0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23" fillId="0" borderId="0" xfId="0" applyFont="1" applyFill="1" applyAlignment="1">
      <alignment horizontal="center"/>
    </xf>
    <xf numFmtId="49" fontId="12" fillId="0" borderId="3" xfId="1" applyNumberFormat="1" applyFont="1" applyFill="1" applyBorder="1" applyAlignment="1">
      <alignment horizontal="center" vertical="center" wrapText="1"/>
    </xf>
    <xf numFmtId="49" fontId="12" fillId="0" borderId="4" xfId="1" applyNumberFormat="1" applyFont="1" applyFill="1" applyBorder="1" applyAlignment="1">
      <alignment horizontal="center" vertical="center" wrapText="1"/>
    </xf>
    <xf numFmtId="0" fontId="23" fillId="0" borderId="18" xfId="1" applyFont="1" applyFill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19"/>
  <sheetViews>
    <sheetView workbookViewId="0">
      <pane xSplit="3" ySplit="10" topLeftCell="U11" activePane="bottomRight" state="frozen"/>
      <selection pane="topRight" activeCell="D1" sqref="D1"/>
      <selection pane="bottomLeft" activeCell="A11" sqref="A11"/>
      <selection pane="bottomRight" activeCell="AT28" sqref="AT28"/>
    </sheetView>
  </sheetViews>
  <sheetFormatPr defaultRowHeight="15"/>
  <cols>
    <col min="1" max="1" width="4.28515625" style="14" customWidth="1"/>
    <col min="2" max="2" width="10.85546875" style="14" customWidth="1"/>
    <col min="3" max="3" width="10.5703125" style="14" customWidth="1"/>
    <col min="4" max="4" width="31" style="14" customWidth="1"/>
    <col min="5" max="5" width="9.7109375" style="14" customWidth="1"/>
    <col min="6" max="6" width="6" style="14" customWidth="1"/>
    <col min="7" max="7" width="6.5703125" style="14" customWidth="1"/>
    <col min="8" max="8" width="6.42578125" style="14" customWidth="1"/>
    <col min="9" max="9" width="6.28515625" style="14" customWidth="1"/>
    <col min="10" max="10" width="5.140625" style="14" customWidth="1"/>
    <col min="11" max="11" width="6.140625" style="14" customWidth="1"/>
    <col min="12" max="13" width="11.7109375" style="14" customWidth="1"/>
    <col min="14" max="14" width="11.5703125" style="14" customWidth="1"/>
    <col min="15" max="15" width="6.5703125" style="14" customWidth="1"/>
    <col min="16" max="16" width="11.5703125" style="14" customWidth="1"/>
    <col min="17" max="17" width="11.85546875" style="14" customWidth="1"/>
    <col min="18" max="18" width="12.7109375" style="14" customWidth="1"/>
    <col min="19" max="20" width="11.5703125" style="14" customWidth="1"/>
    <col min="21" max="23" width="12.42578125" style="14" customWidth="1"/>
    <col min="24" max="24" width="6.5703125" style="14" customWidth="1"/>
    <col min="25" max="25" width="6.85546875" style="14" customWidth="1"/>
    <col min="26" max="27" width="6.5703125" style="14" customWidth="1"/>
    <col min="28" max="28" width="6.7109375" style="14" customWidth="1"/>
    <col min="29" max="29" width="6.42578125" style="14" customWidth="1"/>
    <col min="30" max="30" width="14.7109375" style="14" customWidth="1"/>
    <col min="31" max="31" width="11.42578125" style="14" customWidth="1"/>
    <col min="32" max="32" width="12.42578125" style="14" customWidth="1"/>
    <col min="33" max="33" width="7.7109375" style="14" customWidth="1"/>
    <col min="34" max="34" width="9.42578125" style="14" bestFit="1" customWidth="1"/>
    <col min="35" max="35" width="12" style="14" customWidth="1"/>
    <col min="36" max="16384" width="9.140625" style="14"/>
  </cols>
  <sheetData>
    <row r="1" spans="1:36" ht="15.75">
      <c r="E1" s="100">
        <v>2008</v>
      </c>
      <c r="F1" s="101"/>
      <c r="G1" s="101"/>
      <c r="H1" s="101"/>
      <c r="I1" s="101"/>
      <c r="J1" s="101"/>
      <c r="K1" s="101"/>
      <c r="L1" s="47">
        <v>2010</v>
      </c>
      <c r="M1" s="100">
        <v>2011</v>
      </c>
      <c r="N1" s="101"/>
      <c r="O1" s="101"/>
      <c r="P1" s="102">
        <v>2012</v>
      </c>
      <c r="Q1" s="103"/>
      <c r="R1" s="47">
        <v>2015</v>
      </c>
      <c r="S1" s="47">
        <v>2016</v>
      </c>
      <c r="T1" s="47">
        <v>2017</v>
      </c>
      <c r="U1" s="102">
        <v>2018</v>
      </c>
      <c r="V1" s="104"/>
      <c r="W1" s="102">
        <v>2019</v>
      </c>
      <c r="X1" s="105"/>
      <c r="Y1" s="105"/>
      <c r="Z1" s="105"/>
      <c r="AA1" s="105"/>
      <c r="AB1" s="105"/>
      <c r="AC1" s="105"/>
      <c r="AD1" s="105"/>
      <c r="AE1" s="105"/>
      <c r="AF1" s="106"/>
      <c r="AG1" s="107"/>
      <c r="AH1" s="107"/>
      <c r="AI1" s="107"/>
    </row>
    <row r="2" spans="1:36" ht="45" customHeight="1">
      <c r="A2" s="5" t="s">
        <v>20</v>
      </c>
      <c r="B2" s="5" t="s">
        <v>21</v>
      </c>
      <c r="C2" s="3" t="s">
        <v>22</v>
      </c>
      <c r="D2" s="2" t="s">
        <v>23</v>
      </c>
      <c r="E2" s="2" t="s">
        <v>51</v>
      </c>
      <c r="F2" s="2" t="s">
        <v>25</v>
      </c>
      <c r="G2" s="9" t="s">
        <v>39</v>
      </c>
      <c r="H2" s="2" t="s">
        <v>70</v>
      </c>
      <c r="I2" s="10" t="s">
        <v>40</v>
      </c>
      <c r="J2" s="2" t="s">
        <v>26</v>
      </c>
      <c r="K2" s="11" t="s">
        <v>41</v>
      </c>
      <c r="L2" s="2" t="s">
        <v>44</v>
      </c>
      <c r="M2" s="2" t="s">
        <v>45</v>
      </c>
      <c r="N2" s="4" t="s">
        <v>47</v>
      </c>
      <c r="O2" s="12" t="s">
        <v>46</v>
      </c>
      <c r="P2" s="5" t="s">
        <v>48</v>
      </c>
      <c r="Q2" s="6" t="s">
        <v>49</v>
      </c>
      <c r="R2" s="6" t="s">
        <v>50</v>
      </c>
      <c r="S2" s="5" t="s">
        <v>52</v>
      </c>
      <c r="T2" s="6" t="s">
        <v>61</v>
      </c>
      <c r="U2" s="6" t="s">
        <v>62</v>
      </c>
      <c r="V2" s="6" t="s">
        <v>72</v>
      </c>
      <c r="W2" s="51" t="s">
        <v>73</v>
      </c>
      <c r="X2" s="6" t="s">
        <v>74</v>
      </c>
      <c r="Y2" s="6" t="s">
        <v>75</v>
      </c>
      <c r="Z2" s="6" t="s">
        <v>76</v>
      </c>
      <c r="AA2" s="6" t="s">
        <v>77</v>
      </c>
      <c r="AB2" s="6" t="s">
        <v>78</v>
      </c>
      <c r="AC2" s="6" t="s">
        <v>80</v>
      </c>
      <c r="AD2" s="51" t="s">
        <v>81</v>
      </c>
      <c r="AE2" s="50" t="s">
        <v>69</v>
      </c>
      <c r="AF2" s="50" t="s">
        <v>82</v>
      </c>
      <c r="AG2" s="54" t="s">
        <v>83</v>
      </c>
      <c r="AH2" s="62" t="s">
        <v>7</v>
      </c>
      <c r="AI2" s="6" t="s">
        <v>71</v>
      </c>
    </row>
    <row r="3" spans="1:36" ht="16.5">
      <c r="A3" s="7">
        <v>1</v>
      </c>
      <c r="B3" s="15" t="s">
        <v>27</v>
      </c>
      <c r="C3" s="16" t="s">
        <v>28</v>
      </c>
      <c r="D3" s="17" t="s">
        <v>59</v>
      </c>
      <c r="E3" s="18">
        <v>1739</v>
      </c>
      <c r="F3" s="18">
        <f>ROUND(PRODUCT(E3*50%),0)</f>
        <v>870</v>
      </c>
      <c r="G3" s="19">
        <f>SUM(E3:F3)</f>
        <v>2609</v>
      </c>
      <c r="H3" s="18">
        <f>ROUND(PRODUCT(G3*15%),0)</f>
        <v>391</v>
      </c>
      <c r="I3" s="21">
        <f t="shared" ref="I3:I8" si="0">ROUND(PRODUCT(G3+H3),0)</f>
        <v>3000</v>
      </c>
      <c r="J3" s="18"/>
      <c r="K3" s="22">
        <f>ROUND(PRODUCT(I3+J3),0)</f>
        <v>3000</v>
      </c>
      <c r="L3" s="18">
        <f>ROUND(PRODUCT(K3/4*3),0)</f>
        <v>2250</v>
      </c>
      <c r="M3" s="18">
        <f>ROUND(PRODUCT(L3+L3*15%),0)</f>
        <v>2588</v>
      </c>
      <c r="N3" s="18">
        <v>2200</v>
      </c>
      <c r="O3" s="23">
        <f>ROUND(PRODUCT(M3+N3),0)</f>
        <v>4788</v>
      </c>
      <c r="P3" s="18">
        <f>ROUND(PRODUCT(O3+O3*8%),0)</f>
        <v>5171</v>
      </c>
      <c r="Q3" s="18">
        <f>ROUND(PRODUCT(P3+P3*7.4%),0)</f>
        <v>5554</v>
      </c>
      <c r="R3" s="18">
        <f>ROUND(PRODUCT(Q3+Q3*10%),0)</f>
        <v>6109</v>
      </c>
      <c r="S3" s="29">
        <v>6124</v>
      </c>
      <c r="T3" s="18">
        <f>ROUND(PRODUCT(S3+S3*15%),0)</f>
        <v>7043</v>
      </c>
      <c r="U3" s="48">
        <v>9194</v>
      </c>
      <c r="V3" s="59">
        <f>U3</f>
        <v>9194</v>
      </c>
      <c r="W3" s="52">
        <v>8678</v>
      </c>
      <c r="X3" s="58" t="s">
        <v>79</v>
      </c>
      <c r="Y3" s="58" t="s">
        <v>79</v>
      </c>
      <c r="Z3" s="58" t="s">
        <v>79</v>
      </c>
      <c r="AA3" s="58" t="s">
        <v>79</v>
      </c>
      <c r="AB3" s="58" t="s">
        <v>79</v>
      </c>
      <c r="AC3" s="58">
        <v>3</v>
      </c>
      <c r="AD3" s="49">
        <f>ROUND(PRODUCT(W3+W3*15%),0)</f>
        <v>9980</v>
      </c>
      <c r="AE3" s="24">
        <f>ROUND(PRODUCT((AD3-V3)/4),0)-1</f>
        <v>196</v>
      </c>
      <c r="AF3" s="24">
        <f t="shared" ref="AF3:AF8" si="1">ROUND(PRODUCT(V3+AE3),0)</f>
        <v>9390</v>
      </c>
      <c r="AG3" s="57"/>
      <c r="AH3" s="63">
        <f>SUM(AF3+AG3)</f>
        <v>9390</v>
      </c>
      <c r="AI3" s="53">
        <v>347</v>
      </c>
    </row>
    <row r="4" spans="1:36" ht="16.5">
      <c r="A4" s="7">
        <v>2</v>
      </c>
      <c r="B4" s="15" t="s">
        <v>29</v>
      </c>
      <c r="C4" s="16" t="s">
        <v>30</v>
      </c>
      <c r="D4" s="17" t="s">
        <v>67</v>
      </c>
      <c r="E4" s="18">
        <v>1739</v>
      </c>
      <c r="F4" s="18">
        <f>ROUND(PRODUCT(E4*40%),0)</f>
        <v>696</v>
      </c>
      <c r="G4" s="19">
        <f t="shared" ref="G4:G8" si="2">SUM(E4:F4)</f>
        <v>2435</v>
      </c>
      <c r="H4" s="18">
        <f>ROUND(PRODUCT(G4*25%),0)</f>
        <v>609</v>
      </c>
      <c r="I4" s="21">
        <f t="shared" si="0"/>
        <v>3044</v>
      </c>
      <c r="J4" s="18"/>
      <c r="K4" s="22">
        <f>ROUND(PRODUCT(I4+J4),0)</f>
        <v>3044</v>
      </c>
      <c r="L4" s="18">
        <f>ROUND(PRODUCT(K4/4*3),0)</f>
        <v>2283</v>
      </c>
      <c r="M4" s="18">
        <f t="shared" ref="M4:M8" si="3">ROUND(PRODUCT(L4+L4*15%),0)</f>
        <v>2625</v>
      </c>
      <c r="N4" s="18">
        <v>1400</v>
      </c>
      <c r="O4" s="23">
        <f t="shared" ref="O4:O7" si="4">ROUND(PRODUCT(M4+N4),0)</f>
        <v>4025</v>
      </c>
      <c r="P4" s="18">
        <f t="shared" ref="P4:P7" si="5">ROUND(PRODUCT(O4+O4*8%),0)</f>
        <v>4347</v>
      </c>
      <c r="Q4" s="18">
        <f t="shared" ref="Q4:Q8" si="6">ROUND(PRODUCT(P4+P4*7.4%),0)</f>
        <v>4669</v>
      </c>
      <c r="R4" s="18">
        <f t="shared" ref="R4" si="7">ROUND(PRODUCT(Q4+Q4*10%),0)</f>
        <v>5136</v>
      </c>
      <c r="S4" s="31">
        <v>5136</v>
      </c>
      <c r="T4" s="18">
        <f>ROUND(PRODUCT(R4+R4*15%),0)</f>
        <v>5906</v>
      </c>
      <c r="U4" s="49">
        <f>ROUND(PRODUCT(T4+T4*25%),0)</f>
        <v>7383</v>
      </c>
      <c r="V4" s="60">
        <f>U4</f>
        <v>7383</v>
      </c>
      <c r="W4" s="52">
        <v>8072</v>
      </c>
      <c r="X4" s="49" t="s">
        <v>79</v>
      </c>
      <c r="Y4" s="49" t="s">
        <v>79</v>
      </c>
      <c r="Z4" s="49" t="s">
        <v>79</v>
      </c>
      <c r="AA4" s="49" t="s">
        <v>79</v>
      </c>
      <c r="AB4" s="49" t="s">
        <v>79</v>
      </c>
      <c r="AC4" s="49">
        <v>5</v>
      </c>
      <c r="AD4" s="49">
        <f t="shared" ref="AD4" si="8">ROUND(PRODUCT(W4+W4*15%),0)</f>
        <v>9283</v>
      </c>
      <c r="AE4" s="24">
        <f t="shared" ref="AE4:AE8" si="9">ROUND(PRODUCT((AD4-V4)/4),0)</f>
        <v>475</v>
      </c>
      <c r="AF4" s="24">
        <f t="shared" si="1"/>
        <v>7858</v>
      </c>
      <c r="AG4" s="55"/>
      <c r="AH4" s="63">
        <f t="shared" ref="AH4:AH8" si="10">SUM(AF4+AG4)</f>
        <v>7858</v>
      </c>
      <c r="AI4" s="53">
        <v>347</v>
      </c>
    </row>
    <row r="5" spans="1:36" ht="15" customHeight="1">
      <c r="A5" s="8">
        <v>3</v>
      </c>
      <c r="B5" s="26" t="s">
        <v>31</v>
      </c>
      <c r="C5" s="26" t="s">
        <v>32</v>
      </c>
      <c r="D5" s="27" t="s">
        <v>55</v>
      </c>
      <c r="E5" s="28">
        <v>1739</v>
      </c>
      <c r="F5" s="18"/>
      <c r="G5" s="19">
        <f t="shared" si="2"/>
        <v>1739</v>
      </c>
      <c r="H5" s="18">
        <f>ROUND(PRODUCT(G5*25%),0)</f>
        <v>435</v>
      </c>
      <c r="I5" s="21">
        <f t="shared" si="0"/>
        <v>2174</v>
      </c>
      <c r="J5" s="18">
        <f>ROUND(PRODUCT(I5*10%),0)</f>
        <v>217</v>
      </c>
      <c r="K5" s="22">
        <f t="shared" ref="K5:K8" si="11">ROUND(PRODUCT(I5+J5),0)</f>
        <v>2391</v>
      </c>
      <c r="L5" s="18">
        <f t="shared" ref="L5:L8" si="12">ROUND(PRODUCT(K5/4*3),0)</f>
        <v>1793</v>
      </c>
      <c r="M5" s="18">
        <f t="shared" si="3"/>
        <v>2062</v>
      </c>
      <c r="N5" s="24">
        <v>600</v>
      </c>
      <c r="O5" s="23">
        <f t="shared" si="4"/>
        <v>2662</v>
      </c>
      <c r="P5" s="18">
        <f t="shared" si="5"/>
        <v>2875</v>
      </c>
      <c r="Q5" s="18">
        <f t="shared" si="6"/>
        <v>3088</v>
      </c>
      <c r="R5" s="18">
        <f>ROUND(PRODUCT(Q5+Q5*10%),0)</f>
        <v>3397</v>
      </c>
      <c r="S5" s="30"/>
      <c r="T5" s="18">
        <f>ROUND(PRODUCT(R5+R5*15%),0)</f>
        <v>3907</v>
      </c>
      <c r="U5" s="49">
        <f>ROUND(PRODUCT(T5+T5*25%),0)</f>
        <v>4884</v>
      </c>
      <c r="V5" s="60">
        <f>U5-344</f>
        <v>4540</v>
      </c>
      <c r="W5" s="52">
        <v>4733</v>
      </c>
      <c r="X5" s="49">
        <f>ROUND(PRODUCT(W5+W5*7.5%),0)</f>
        <v>5088</v>
      </c>
      <c r="Y5" s="49">
        <f>ROUND(PRODUCT(X5+X5*5%),0)</f>
        <v>5342</v>
      </c>
      <c r="Z5" s="49">
        <f>ROUND(PRODUCT(Y5+Y5*5%),0)</f>
        <v>5609</v>
      </c>
      <c r="AA5" s="49">
        <f>ROUND(PRODUCT(Z5+Z5*2.5%),0)</f>
        <v>5749</v>
      </c>
      <c r="AB5" s="49">
        <f>ROUND(PRODUCT(AA5+AA5*2.5%),0)</f>
        <v>5893</v>
      </c>
      <c r="AC5" s="49">
        <v>5</v>
      </c>
      <c r="AD5" s="49">
        <f>ROUND(PRODUCT(AB5+AB5*15%),0)</f>
        <v>6777</v>
      </c>
      <c r="AE5" s="24">
        <f>ROUND(PRODUCT((AD5-V5)/4),0)</f>
        <v>559</v>
      </c>
      <c r="AF5" s="24">
        <f t="shared" si="1"/>
        <v>5099</v>
      </c>
      <c r="AG5" s="55">
        <v>344</v>
      </c>
      <c r="AH5" s="63">
        <f>SUM(AF5+AG5)</f>
        <v>5443</v>
      </c>
      <c r="AI5" s="53">
        <v>347</v>
      </c>
    </row>
    <row r="6" spans="1:36" ht="15" customHeight="1">
      <c r="A6" s="8">
        <v>4</v>
      </c>
      <c r="B6" s="26" t="s">
        <v>34</v>
      </c>
      <c r="C6" s="26" t="s">
        <v>35</v>
      </c>
      <c r="D6" s="27" t="s">
        <v>55</v>
      </c>
      <c r="E6" s="28">
        <v>1739</v>
      </c>
      <c r="F6" s="18"/>
      <c r="G6" s="19">
        <f t="shared" si="2"/>
        <v>1739</v>
      </c>
      <c r="H6" s="18">
        <f>ROUND(PRODUCT(G6*25%),0)</f>
        <v>435</v>
      </c>
      <c r="I6" s="21">
        <f t="shared" si="0"/>
        <v>2174</v>
      </c>
      <c r="J6" s="18">
        <f t="shared" ref="J6" si="13">ROUND(PRODUCT(I6*10%),0)</f>
        <v>217</v>
      </c>
      <c r="K6" s="22">
        <f t="shared" si="11"/>
        <v>2391</v>
      </c>
      <c r="L6" s="18">
        <f t="shared" si="12"/>
        <v>1793</v>
      </c>
      <c r="M6" s="18">
        <f t="shared" si="3"/>
        <v>2062</v>
      </c>
      <c r="N6" s="24">
        <v>600</v>
      </c>
      <c r="O6" s="23">
        <f t="shared" si="4"/>
        <v>2662</v>
      </c>
      <c r="P6" s="18">
        <f t="shared" si="5"/>
        <v>2875</v>
      </c>
      <c r="Q6" s="18">
        <f t="shared" si="6"/>
        <v>3088</v>
      </c>
      <c r="R6" s="18">
        <f>ROUND(PRODUCT(Q6+Q6*10%),0)</f>
        <v>3397</v>
      </c>
      <c r="S6" s="30"/>
      <c r="T6" s="18">
        <f>ROUND(PRODUCT(R6+R6*15%),0)</f>
        <v>3907</v>
      </c>
      <c r="U6" s="49">
        <f>ROUND(PRODUCT(T6+T6*25%),0)</f>
        <v>4884</v>
      </c>
      <c r="V6" s="60">
        <f>U6-344</f>
        <v>4540</v>
      </c>
      <c r="W6" s="52">
        <v>4733</v>
      </c>
      <c r="X6" s="49">
        <f t="shared" ref="X6:X8" si="14">ROUND(PRODUCT(W6+W6*7.5%),0)</f>
        <v>5088</v>
      </c>
      <c r="Y6" s="49">
        <f t="shared" ref="Y6:Z8" si="15">ROUND(PRODUCT(X6+X6*5%),0)</f>
        <v>5342</v>
      </c>
      <c r="Z6" s="49">
        <f t="shared" si="15"/>
        <v>5609</v>
      </c>
      <c r="AA6" s="49">
        <f t="shared" ref="AA6:AA8" si="16">ROUND(PRODUCT(Z6+Z6*2.5%),0)</f>
        <v>5749</v>
      </c>
      <c r="AB6" s="49">
        <f>ROUND(PRODUCT(AA6+AA6*2.5%),0)</f>
        <v>5893</v>
      </c>
      <c r="AC6" s="49">
        <v>5</v>
      </c>
      <c r="AD6" s="49">
        <f>ROUND(PRODUCT(AB6+AB6*15%),0)</f>
        <v>6777</v>
      </c>
      <c r="AE6" s="24">
        <f t="shared" si="9"/>
        <v>559</v>
      </c>
      <c r="AF6" s="24">
        <f t="shared" si="1"/>
        <v>5099</v>
      </c>
      <c r="AG6" s="55">
        <v>344</v>
      </c>
      <c r="AH6" s="63">
        <f t="shared" si="10"/>
        <v>5443</v>
      </c>
      <c r="AI6" s="53">
        <v>347</v>
      </c>
    </row>
    <row r="7" spans="1:36" ht="15" customHeight="1">
      <c r="A7" s="8">
        <v>5</v>
      </c>
      <c r="B7" s="26" t="s">
        <v>36</v>
      </c>
      <c r="C7" s="26" t="s">
        <v>37</v>
      </c>
      <c r="D7" s="27" t="s">
        <v>56</v>
      </c>
      <c r="E7" s="28">
        <v>1380</v>
      </c>
      <c r="F7" s="18"/>
      <c r="G7" s="19">
        <f t="shared" si="2"/>
        <v>1380</v>
      </c>
      <c r="H7" s="18">
        <f>ROUND(PRODUCT(G7*25%),0)</f>
        <v>345</v>
      </c>
      <c r="I7" s="21">
        <f t="shared" si="0"/>
        <v>1725</v>
      </c>
      <c r="J7" s="18"/>
      <c r="K7" s="22">
        <f t="shared" si="11"/>
        <v>1725</v>
      </c>
      <c r="L7" s="18">
        <f t="shared" si="12"/>
        <v>1294</v>
      </c>
      <c r="M7" s="18">
        <f t="shared" si="3"/>
        <v>1488</v>
      </c>
      <c r="N7" s="24">
        <v>500</v>
      </c>
      <c r="O7" s="23">
        <f t="shared" si="4"/>
        <v>1988</v>
      </c>
      <c r="P7" s="18">
        <f t="shared" si="5"/>
        <v>2147</v>
      </c>
      <c r="Q7" s="18">
        <f t="shared" si="6"/>
        <v>2306</v>
      </c>
      <c r="R7" s="18">
        <f>ROUND(PRODUCT(Q7+Q7*10%),0)-1</f>
        <v>2536</v>
      </c>
      <c r="S7" s="30"/>
      <c r="T7" s="18">
        <f>ROUND(PRODUCT(R7+R7*15%),0)</f>
        <v>2916</v>
      </c>
      <c r="U7" s="49">
        <f>ROUND(PRODUCT(T7+T7*25%),0)</f>
        <v>3645</v>
      </c>
      <c r="V7" s="60">
        <f>U7</f>
        <v>3645</v>
      </c>
      <c r="W7" s="52">
        <v>4173</v>
      </c>
      <c r="X7" s="49">
        <f t="shared" si="14"/>
        <v>4486</v>
      </c>
      <c r="Y7" s="49">
        <f t="shared" si="15"/>
        <v>4710</v>
      </c>
      <c r="Z7" s="49">
        <f t="shared" si="15"/>
        <v>4946</v>
      </c>
      <c r="AA7" s="49">
        <f t="shared" si="16"/>
        <v>5070</v>
      </c>
      <c r="AB7" s="49">
        <f>ROUND(PRODUCT(AA7+AA7*2.5%),0)</f>
        <v>5197</v>
      </c>
      <c r="AC7" s="49">
        <v>5</v>
      </c>
      <c r="AD7" s="49">
        <f>ROUND(PRODUCT(AB7+AB7*15%),0)</f>
        <v>5977</v>
      </c>
      <c r="AE7" s="24">
        <f t="shared" si="9"/>
        <v>583</v>
      </c>
      <c r="AF7" s="24">
        <f t="shared" si="1"/>
        <v>4228</v>
      </c>
      <c r="AG7" s="55"/>
      <c r="AH7" s="63">
        <f t="shared" si="10"/>
        <v>4228</v>
      </c>
      <c r="AI7" s="53">
        <v>347</v>
      </c>
    </row>
    <row r="8" spans="1:36" ht="15" customHeight="1">
      <c r="A8" s="8">
        <v>6</v>
      </c>
      <c r="B8" s="26" t="s">
        <v>33</v>
      </c>
      <c r="C8" s="26" t="s">
        <v>38</v>
      </c>
      <c r="D8" s="27" t="s">
        <v>55</v>
      </c>
      <c r="E8" s="28">
        <v>1739</v>
      </c>
      <c r="F8" s="18"/>
      <c r="G8" s="19">
        <f t="shared" si="2"/>
        <v>1739</v>
      </c>
      <c r="H8" s="18">
        <f>ROUND(PRODUCT(G8*15%),0)</f>
        <v>261</v>
      </c>
      <c r="I8" s="21">
        <f t="shared" si="0"/>
        <v>2000</v>
      </c>
      <c r="J8" s="18"/>
      <c r="K8" s="22">
        <f t="shared" si="11"/>
        <v>2000</v>
      </c>
      <c r="L8" s="18">
        <f t="shared" si="12"/>
        <v>1500</v>
      </c>
      <c r="M8" s="18">
        <f t="shared" si="3"/>
        <v>1725</v>
      </c>
      <c r="N8" s="24">
        <v>600</v>
      </c>
      <c r="O8" s="23">
        <f>ROUND(PRODUCT(M8+N8),0)</f>
        <v>2325</v>
      </c>
      <c r="P8" s="18">
        <f>ROUND(PRODUCT(O8+O8*8%),0)</f>
        <v>2511</v>
      </c>
      <c r="Q8" s="18">
        <f t="shared" si="6"/>
        <v>2697</v>
      </c>
      <c r="R8" s="18">
        <f>ROUND(PRODUCT(Q8+Q8*10%),0)</f>
        <v>2967</v>
      </c>
      <c r="S8" s="30"/>
      <c r="T8" s="18">
        <f>ROUND(PRODUCT(R8+R8*15%),0)</f>
        <v>3412</v>
      </c>
      <c r="U8" s="49">
        <f>ROUND(PRODUCT(T8+T8*25%),0)</f>
        <v>4265</v>
      </c>
      <c r="V8" s="60">
        <f>U8</f>
        <v>4265</v>
      </c>
      <c r="W8" s="52">
        <v>4733</v>
      </c>
      <c r="X8" s="49">
        <f t="shared" si="14"/>
        <v>5088</v>
      </c>
      <c r="Y8" s="49">
        <f t="shared" si="15"/>
        <v>5342</v>
      </c>
      <c r="Z8" s="49">
        <f t="shared" si="15"/>
        <v>5609</v>
      </c>
      <c r="AA8" s="49">
        <f t="shared" si="16"/>
        <v>5749</v>
      </c>
      <c r="AB8" s="49">
        <f>ROUND(PRODUCT(AA8+AA8*2.5%),0)</f>
        <v>5893</v>
      </c>
      <c r="AC8" s="49">
        <v>3</v>
      </c>
      <c r="AD8" s="49">
        <f>ROUND(PRODUCT(Z8+Z8*15%),0)</f>
        <v>6450</v>
      </c>
      <c r="AE8" s="24">
        <f t="shared" si="9"/>
        <v>546</v>
      </c>
      <c r="AF8" s="24">
        <f t="shared" si="1"/>
        <v>4811</v>
      </c>
      <c r="AG8" s="55"/>
      <c r="AH8" s="63">
        <f t="shared" si="10"/>
        <v>4811</v>
      </c>
      <c r="AI8" s="53">
        <v>347</v>
      </c>
    </row>
    <row r="9" spans="1:36" ht="16.5">
      <c r="U9" s="34">
        <f>SUM(U3:U8)</f>
        <v>34255</v>
      </c>
      <c r="V9" s="52">
        <f>SUM(V3:V8)</f>
        <v>33567</v>
      </c>
      <c r="W9" s="52"/>
      <c r="X9" s="52"/>
      <c r="Y9" s="52"/>
      <c r="Z9" s="52"/>
      <c r="AA9" s="52"/>
      <c r="AB9" s="52"/>
      <c r="AC9" s="52"/>
      <c r="AD9" s="52">
        <f t="shared" ref="AD9" si="17">SUM(AD3:AD8)</f>
        <v>45244</v>
      </c>
      <c r="AE9" s="34">
        <f>SUM(AE3:AE8)</f>
        <v>2918</v>
      </c>
      <c r="AF9" s="34">
        <f>SUM(AF3:AF8)</f>
        <v>36485</v>
      </c>
      <c r="AG9" s="56">
        <f>SUM(AG3:AG8)</f>
        <v>688</v>
      </c>
      <c r="AH9" s="63">
        <f>SUM(AH3:AH8)</f>
        <v>37173</v>
      </c>
      <c r="AI9" s="34">
        <f>SUM(AI3:AI8)</f>
        <v>2082</v>
      </c>
      <c r="AJ9" s="34">
        <f>AH9+AI9</f>
        <v>39255</v>
      </c>
    </row>
    <row r="11" spans="1:36">
      <c r="J11" s="14" t="s">
        <v>1</v>
      </c>
      <c r="K11" s="14" t="s">
        <v>60</v>
      </c>
    </row>
    <row r="12" spans="1:36">
      <c r="J12" s="14">
        <v>344</v>
      </c>
      <c r="N12" s="14" t="s">
        <v>63</v>
      </c>
    </row>
    <row r="14" spans="1:36">
      <c r="M14" s="42">
        <f>SUM(U9*12)+372</f>
        <v>411432</v>
      </c>
      <c r="N14" s="43"/>
      <c r="O14" s="43">
        <v>6</v>
      </c>
      <c r="P14" s="14" t="s">
        <v>64</v>
      </c>
    </row>
    <row r="15" spans="1:36">
      <c r="M15" s="35">
        <f>SUM(M14*25%)+750</f>
        <v>103608</v>
      </c>
      <c r="O15" s="36">
        <v>0.25</v>
      </c>
      <c r="P15" s="14" t="s">
        <v>65</v>
      </c>
    </row>
    <row r="16" spans="1:36">
      <c r="M16" s="35"/>
    </row>
    <row r="17" spans="13:16">
      <c r="M17" s="40">
        <f>SUM(M14:M16)</f>
        <v>515040</v>
      </c>
      <c r="N17" s="41"/>
      <c r="O17" s="41" t="s">
        <v>7</v>
      </c>
    </row>
    <row r="18" spans="13:16">
      <c r="M18" s="37">
        <f>SUM(M17*2.25%)+255</f>
        <v>11843.4</v>
      </c>
      <c r="N18" s="38"/>
      <c r="O18" s="39">
        <v>2.2499999999999999E-2</v>
      </c>
      <c r="P18" s="14" t="s">
        <v>66</v>
      </c>
    </row>
    <row r="19" spans="13:16">
      <c r="M19" s="35">
        <f>SUM(M17:M18)</f>
        <v>526883.4</v>
      </c>
    </row>
  </sheetData>
  <mergeCells count="5">
    <mergeCell ref="E1:K1"/>
    <mergeCell ref="M1:O1"/>
    <mergeCell ref="P1:Q1"/>
    <mergeCell ref="U1:V1"/>
    <mergeCell ref="W1:AI1"/>
  </mergeCells>
  <pageMargins left="0" right="0" top="0.59055118110236227" bottom="0" header="0.51181102362204722" footer="0.51181102362204722"/>
  <pageSetup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9"/>
  <sheetViews>
    <sheetView tabSelected="1" topLeftCell="B1" workbookViewId="0">
      <selection activeCell="L21" sqref="L21"/>
    </sheetView>
  </sheetViews>
  <sheetFormatPr defaultRowHeight="12.75"/>
  <cols>
    <col min="1" max="1" width="4.42578125" style="98" customWidth="1"/>
    <col min="2" max="2" width="4.85546875" style="98" customWidth="1"/>
    <col min="3" max="3" width="20.42578125" style="98" customWidth="1"/>
    <col min="4" max="4" width="25.5703125" style="98" customWidth="1"/>
    <col min="5" max="5" width="20.7109375" style="98" customWidth="1"/>
    <col min="6" max="6" width="11.28515625" style="98" customWidth="1"/>
    <col min="7" max="7" width="10.42578125" style="98" customWidth="1"/>
    <col min="8" max="8" width="11.5703125" style="98" customWidth="1"/>
    <col min="9" max="9" width="5" style="98" customWidth="1"/>
    <col min="10" max="10" width="5.42578125" style="98" customWidth="1"/>
    <col min="11" max="11" width="11.28515625" style="98" customWidth="1"/>
    <col min="12" max="12" width="12.5703125" style="98" customWidth="1"/>
    <col min="13" max="13" width="12" style="98" customWidth="1"/>
    <col min="14" max="14" width="11.85546875" style="98" customWidth="1"/>
    <col min="15" max="16384" width="9.140625" style="98"/>
  </cols>
  <sheetData>
    <row r="1" spans="1:14" ht="15">
      <c r="A1" s="64" t="s">
        <v>8</v>
      </c>
      <c r="B1" s="65"/>
      <c r="C1" s="65"/>
      <c r="D1" s="64"/>
      <c r="E1" s="124"/>
      <c r="F1" s="124"/>
      <c r="G1" s="124"/>
      <c r="H1" s="124"/>
      <c r="I1" s="124"/>
      <c r="J1" s="124"/>
      <c r="K1" s="124"/>
      <c r="L1" s="124"/>
      <c r="M1" s="124"/>
    </row>
    <row r="2" spans="1:14" ht="15">
      <c r="A2" s="65"/>
      <c r="B2" s="65"/>
      <c r="C2" s="64"/>
      <c r="D2" s="93"/>
      <c r="E2" s="65"/>
      <c r="F2" s="93"/>
      <c r="G2" s="94"/>
      <c r="H2" s="94"/>
      <c r="I2" s="93"/>
      <c r="J2" s="65"/>
      <c r="K2" s="14"/>
      <c r="L2" s="66"/>
      <c r="M2" s="94"/>
    </row>
    <row r="3" spans="1:14" ht="15">
      <c r="A3" s="65"/>
      <c r="B3" s="65"/>
      <c r="C3" s="64"/>
      <c r="D3" s="93"/>
      <c r="E3" s="1"/>
      <c r="F3" s="93"/>
      <c r="G3" s="94"/>
      <c r="H3" s="94"/>
      <c r="I3" s="93"/>
      <c r="J3" s="65"/>
      <c r="K3" s="14"/>
      <c r="L3" s="66"/>
      <c r="M3" s="94"/>
    </row>
    <row r="4" spans="1:14" ht="15">
      <c r="A4" s="125" t="s">
        <v>0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</row>
    <row r="5" spans="1:14" ht="15">
      <c r="A5" s="125" t="s">
        <v>84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</row>
    <row r="6" spans="1:14" ht="15">
      <c r="A6" s="94"/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</row>
    <row r="7" spans="1:14" ht="15">
      <c r="A7" s="94"/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</row>
    <row r="8" spans="1:14" ht="7.5" customHeight="1" thickBot="1">
      <c r="A8" s="94"/>
      <c r="B8" s="94"/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</row>
    <row r="9" spans="1:14" ht="24.75" customHeight="1">
      <c r="A9" s="128" t="s">
        <v>86</v>
      </c>
      <c r="B9" s="128" t="s">
        <v>86</v>
      </c>
      <c r="C9" s="113" t="s">
        <v>87</v>
      </c>
      <c r="D9" s="113" t="s">
        <v>93</v>
      </c>
      <c r="E9" s="113" t="s">
        <v>88</v>
      </c>
      <c r="F9" s="113" t="s">
        <v>89</v>
      </c>
      <c r="G9" s="115" t="s">
        <v>94</v>
      </c>
      <c r="H9" s="116" t="s">
        <v>90</v>
      </c>
      <c r="I9" s="116" t="s">
        <v>91</v>
      </c>
      <c r="J9" s="116" t="s">
        <v>26</v>
      </c>
      <c r="K9" s="126" t="s">
        <v>96</v>
      </c>
      <c r="L9" s="116" t="s">
        <v>85</v>
      </c>
      <c r="M9" s="108" t="s">
        <v>97</v>
      </c>
      <c r="N9" s="108" t="s">
        <v>95</v>
      </c>
    </row>
    <row r="10" spans="1:14" ht="38.25" customHeight="1" thickBot="1">
      <c r="A10" s="129"/>
      <c r="B10" s="129"/>
      <c r="C10" s="114"/>
      <c r="D10" s="114"/>
      <c r="E10" s="114"/>
      <c r="F10" s="114"/>
      <c r="G10" s="114"/>
      <c r="H10" s="114"/>
      <c r="I10" s="114"/>
      <c r="J10" s="114"/>
      <c r="K10" s="127"/>
      <c r="L10" s="114"/>
      <c r="M10" s="109"/>
      <c r="N10" s="109"/>
    </row>
    <row r="11" spans="1:14" ht="15">
      <c r="A11" s="110" t="s">
        <v>12</v>
      </c>
      <c r="B11" s="111"/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2"/>
    </row>
    <row r="12" spans="1:14" ht="15">
      <c r="A12" s="67">
        <v>1</v>
      </c>
      <c r="B12" s="68">
        <v>1</v>
      </c>
      <c r="C12" s="69"/>
      <c r="D12" s="70" t="s">
        <v>59</v>
      </c>
      <c r="E12" s="71" t="s">
        <v>9</v>
      </c>
      <c r="F12" s="72">
        <v>9194</v>
      </c>
      <c r="G12" s="73">
        <v>9980</v>
      </c>
      <c r="H12" s="72">
        <v>196</v>
      </c>
      <c r="I12" s="74"/>
      <c r="J12" s="72"/>
      <c r="K12" s="75">
        <f>F12+H12+J12</f>
        <v>9390</v>
      </c>
      <c r="L12" s="72">
        <v>347</v>
      </c>
      <c r="M12" s="95">
        <f>K12+L12</f>
        <v>9737</v>
      </c>
      <c r="N12" s="76">
        <v>1450</v>
      </c>
    </row>
    <row r="13" spans="1:14" ht="15">
      <c r="A13" s="119" t="s">
        <v>17</v>
      </c>
      <c r="B13" s="120"/>
      <c r="C13" s="120"/>
      <c r="D13" s="120"/>
      <c r="E13" s="120"/>
      <c r="F13" s="120"/>
      <c r="G13" s="120"/>
      <c r="H13" s="120"/>
      <c r="I13" s="120"/>
      <c r="J13" s="120"/>
      <c r="K13" s="120"/>
      <c r="L13" s="121"/>
      <c r="M13" s="96"/>
      <c r="N13" s="77"/>
    </row>
    <row r="14" spans="1:14" ht="15">
      <c r="A14" s="67">
        <v>2</v>
      </c>
      <c r="B14" s="68">
        <v>1</v>
      </c>
      <c r="C14" s="78" t="s">
        <v>55</v>
      </c>
      <c r="D14" s="79"/>
      <c r="E14" s="71" t="s">
        <v>92</v>
      </c>
      <c r="F14" s="72">
        <v>4540</v>
      </c>
      <c r="G14" s="73">
        <v>6777</v>
      </c>
      <c r="H14" s="72">
        <v>559</v>
      </c>
      <c r="I14" s="74">
        <v>5</v>
      </c>
      <c r="J14" s="72">
        <v>344</v>
      </c>
      <c r="K14" s="75">
        <f>F14+H14+J14</f>
        <v>5443</v>
      </c>
      <c r="L14" s="72">
        <v>347</v>
      </c>
      <c r="M14" s="95">
        <f>K14+L14</f>
        <v>5790</v>
      </c>
      <c r="N14" s="76">
        <v>1450</v>
      </c>
    </row>
    <row r="15" spans="1:14" ht="15">
      <c r="A15" s="67">
        <v>3</v>
      </c>
      <c r="B15" s="68">
        <v>2</v>
      </c>
      <c r="C15" s="78" t="s">
        <v>56</v>
      </c>
      <c r="D15" s="79"/>
      <c r="E15" s="71" t="s">
        <v>11</v>
      </c>
      <c r="F15" s="72">
        <v>3645</v>
      </c>
      <c r="G15" s="73">
        <v>5977</v>
      </c>
      <c r="H15" s="72">
        <v>583</v>
      </c>
      <c r="I15" s="74">
        <v>5</v>
      </c>
      <c r="J15" s="72"/>
      <c r="K15" s="75">
        <f>F15+H15+J15</f>
        <v>4228</v>
      </c>
      <c r="L15" s="72">
        <v>347</v>
      </c>
      <c r="M15" s="95">
        <f>K15+L15</f>
        <v>4575</v>
      </c>
      <c r="N15" s="76">
        <v>1450</v>
      </c>
    </row>
    <row r="16" spans="1:14" ht="15">
      <c r="A16" s="119" t="s">
        <v>18</v>
      </c>
      <c r="B16" s="120"/>
      <c r="C16" s="120"/>
      <c r="D16" s="120"/>
      <c r="E16" s="120"/>
      <c r="F16" s="120"/>
      <c r="G16" s="120"/>
      <c r="H16" s="120"/>
      <c r="I16" s="120"/>
      <c r="J16" s="120"/>
      <c r="K16" s="120"/>
      <c r="L16" s="121"/>
      <c r="M16" s="96"/>
      <c r="N16" s="76"/>
    </row>
    <row r="17" spans="1:14" ht="15">
      <c r="A17" s="67">
        <v>4</v>
      </c>
      <c r="B17" s="68">
        <f>+B15+1</f>
        <v>3</v>
      </c>
      <c r="C17" s="78" t="s">
        <v>55</v>
      </c>
      <c r="D17" s="79"/>
      <c r="E17" s="71" t="s">
        <v>10</v>
      </c>
      <c r="F17" s="72">
        <v>4540</v>
      </c>
      <c r="G17" s="73">
        <v>6777</v>
      </c>
      <c r="H17" s="72">
        <v>559</v>
      </c>
      <c r="I17" s="74">
        <v>5</v>
      </c>
      <c r="J17" s="72">
        <v>344</v>
      </c>
      <c r="K17" s="75">
        <f>F17+H17+J17</f>
        <v>5443</v>
      </c>
      <c r="L17" s="72">
        <v>347</v>
      </c>
      <c r="M17" s="95">
        <f>K17+L17</f>
        <v>5790</v>
      </c>
      <c r="N17" s="76">
        <v>1450</v>
      </c>
    </row>
    <row r="18" spans="1:14" ht="15">
      <c r="A18" s="117" t="s">
        <v>5</v>
      </c>
      <c r="B18" s="118"/>
      <c r="C18" s="118"/>
      <c r="D18" s="118"/>
      <c r="E18" s="80"/>
      <c r="F18" s="80"/>
      <c r="G18" s="80"/>
      <c r="H18" s="80"/>
      <c r="I18" s="80"/>
      <c r="J18" s="80"/>
      <c r="K18" s="80"/>
      <c r="L18" s="80"/>
      <c r="M18" s="96"/>
      <c r="N18" s="76"/>
    </row>
    <row r="19" spans="1:14" ht="30">
      <c r="A19" s="67">
        <v>5</v>
      </c>
      <c r="B19" s="68">
        <v>1</v>
      </c>
      <c r="C19" s="79"/>
      <c r="D19" s="81" t="s">
        <v>58</v>
      </c>
      <c r="E19" s="82" t="s">
        <v>13</v>
      </c>
      <c r="F19" s="72">
        <v>7383</v>
      </c>
      <c r="G19" s="73">
        <v>9271</v>
      </c>
      <c r="H19" s="72">
        <v>475</v>
      </c>
      <c r="I19" s="74"/>
      <c r="J19" s="72"/>
      <c r="K19" s="75">
        <f>F19+H19+J19</f>
        <v>7858</v>
      </c>
      <c r="L19" s="72">
        <v>347</v>
      </c>
      <c r="M19" s="95">
        <f>K19+L19</f>
        <v>8205</v>
      </c>
      <c r="N19" s="76">
        <v>1450</v>
      </c>
    </row>
    <row r="20" spans="1:14" ht="15">
      <c r="A20" s="119" t="s">
        <v>19</v>
      </c>
      <c r="B20" s="120"/>
      <c r="C20" s="120"/>
      <c r="D20" s="120"/>
      <c r="E20" s="120"/>
      <c r="F20" s="120"/>
      <c r="G20" s="120"/>
      <c r="H20" s="120"/>
      <c r="I20" s="120"/>
      <c r="J20" s="120"/>
      <c r="K20" s="120"/>
      <c r="L20" s="121"/>
      <c r="M20" s="96"/>
      <c r="N20" s="76"/>
    </row>
    <row r="21" spans="1:14" ht="15.75" thickBot="1">
      <c r="A21" s="67">
        <f>+A19+1</f>
        <v>6</v>
      </c>
      <c r="B21" s="68">
        <f t="shared" ref="B21" si="0">B20+1</f>
        <v>1</v>
      </c>
      <c r="C21" s="78" t="s">
        <v>55</v>
      </c>
      <c r="D21" s="83"/>
      <c r="E21" s="69" t="s">
        <v>14</v>
      </c>
      <c r="F21" s="72">
        <v>4265</v>
      </c>
      <c r="G21" s="73">
        <v>6450</v>
      </c>
      <c r="H21" s="72">
        <v>546</v>
      </c>
      <c r="I21" s="74">
        <v>3</v>
      </c>
      <c r="J21" s="72"/>
      <c r="K21" s="75">
        <f>F21+H21+J21</f>
        <v>4811</v>
      </c>
      <c r="L21" s="72">
        <v>347</v>
      </c>
      <c r="M21" s="95">
        <f>K21+L21</f>
        <v>5158</v>
      </c>
      <c r="N21" s="76">
        <v>1450</v>
      </c>
    </row>
    <row r="22" spans="1:14" ht="15.75" thickBot="1">
      <c r="A22" s="122" t="s">
        <v>7</v>
      </c>
      <c r="B22" s="123"/>
      <c r="C22" s="123"/>
      <c r="D22" s="123"/>
      <c r="E22" s="123"/>
      <c r="F22" s="84"/>
      <c r="G22" s="85"/>
      <c r="H22" s="85"/>
      <c r="I22" s="86"/>
      <c r="J22" s="84"/>
      <c r="K22" s="99">
        <f>K12+K14+K15+K17+K19+K21</f>
        <v>37173</v>
      </c>
      <c r="L22" s="87">
        <f>SUM(L12+L14+L15+L17+L19+L21)</f>
        <v>2082</v>
      </c>
      <c r="M22" s="97">
        <f>SUM(M12:M21)</f>
        <v>39255</v>
      </c>
      <c r="N22" s="88">
        <f>SUM(N12:N21)</f>
        <v>8700</v>
      </c>
    </row>
    <row r="23" spans="1:14" ht="15">
      <c r="A23" s="89"/>
      <c r="B23" s="89" t="s">
        <v>6</v>
      </c>
      <c r="C23" s="90"/>
      <c r="D23" s="93"/>
      <c r="E23" s="94"/>
      <c r="F23" s="94"/>
      <c r="G23" s="65"/>
      <c r="H23" s="65"/>
      <c r="I23" s="94"/>
      <c r="J23" s="94"/>
      <c r="K23" s="14"/>
      <c r="L23" s="66"/>
      <c r="M23" s="89"/>
    </row>
    <row r="24" spans="1:14" ht="15">
      <c r="A24" s="89"/>
      <c r="B24" s="89"/>
      <c r="C24" s="90"/>
      <c r="D24" s="93"/>
      <c r="E24" s="94" t="s">
        <v>12</v>
      </c>
      <c r="F24" s="94"/>
      <c r="G24" s="65"/>
      <c r="H24" s="65"/>
      <c r="I24" s="94"/>
      <c r="J24" s="94"/>
      <c r="K24" s="14"/>
      <c r="L24" s="66"/>
      <c r="M24" s="89"/>
    </row>
    <row r="25" spans="1:14" ht="15">
      <c r="A25" s="89"/>
      <c r="B25" s="89"/>
      <c r="C25" s="91"/>
      <c r="D25" s="93"/>
      <c r="E25" s="94" t="s">
        <v>15</v>
      </c>
      <c r="F25" s="94"/>
      <c r="G25" s="65"/>
      <c r="H25" s="65"/>
      <c r="I25" s="94" t="s">
        <v>2</v>
      </c>
      <c r="J25" s="89"/>
      <c r="K25" s="14"/>
      <c r="L25" s="92"/>
      <c r="M25" s="89"/>
    </row>
    <row r="26" spans="1:14" ht="15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 t="s">
        <v>3</v>
      </c>
    </row>
    <row r="27" spans="1:14" ht="1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94" t="s">
        <v>4</v>
      </c>
      <c r="L27" s="14"/>
      <c r="M27" s="14"/>
    </row>
    <row r="28" spans="1:14" ht="15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94" t="s">
        <v>16</v>
      </c>
      <c r="L28" s="14"/>
      <c r="M28" s="14"/>
    </row>
    <row r="29" spans="1:14" ht="15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61" t="s">
        <v>10</v>
      </c>
      <c r="L29" s="14"/>
      <c r="M29" s="14"/>
    </row>
  </sheetData>
  <mergeCells count="23">
    <mergeCell ref="A18:D18"/>
    <mergeCell ref="A20:L20"/>
    <mergeCell ref="A22:E22"/>
    <mergeCell ref="E1:M1"/>
    <mergeCell ref="A4:M4"/>
    <mergeCell ref="A5:M5"/>
    <mergeCell ref="K9:K10"/>
    <mergeCell ref="A13:L13"/>
    <mergeCell ref="A16:L16"/>
    <mergeCell ref="L9:L10"/>
    <mergeCell ref="A9:A10"/>
    <mergeCell ref="B9:B10"/>
    <mergeCell ref="C9:C10"/>
    <mergeCell ref="D9:D10"/>
    <mergeCell ref="E9:E10"/>
    <mergeCell ref="M9:M10"/>
    <mergeCell ref="N9:N10"/>
    <mergeCell ref="A11:N11"/>
    <mergeCell ref="F9:F10"/>
    <mergeCell ref="G9:G10"/>
    <mergeCell ref="H9:H10"/>
    <mergeCell ref="I9:I10"/>
    <mergeCell ref="J9:J10"/>
  </mergeCells>
  <pageMargins left="0" right="0" top="0" bottom="0" header="0" footer="0"/>
  <pageSetup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Z18"/>
  <sheetViews>
    <sheetView topLeftCell="G4" workbookViewId="0">
      <selection activeCell="X9" sqref="X9"/>
    </sheetView>
  </sheetViews>
  <sheetFormatPr defaultRowHeight="15"/>
  <cols>
    <col min="1" max="1" width="4.28515625" style="14" customWidth="1"/>
    <col min="2" max="2" width="10.85546875" style="14" customWidth="1"/>
    <col min="3" max="3" width="10.5703125" style="14" customWidth="1"/>
    <col min="4" max="4" width="26.85546875" style="14" customWidth="1"/>
    <col min="5" max="5" width="9.7109375" style="14" customWidth="1"/>
    <col min="6" max="6" width="6" style="14" customWidth="1"/>
    <col min="7" max="7" width="6.5703125" style="14" customWidth="1"/>
    <col min="8" max="8" width="8.7109375" style="14" customWidth="1"/>
    <col min="9" max="9" width="8.28515625" style="14" customWidth="1"/>
    <col min="10" max="10" width="6.28515625" style="14" customWidth="1"/>
    <col min="11" max="11" width="5.140625" style="14" customWidth="1"/>
    <col min="12" max="12" width="6.140625" style="14" customWidth="1"/>
    <col min="13" max="14" width="11.7109375" style="14" customWidth="1"/>
    <col min="15" max="15" width="11.5703125" style="14" customWidth="1"/>
    <col min="16" max="16" width="6.5703125" style="14" customWidth="1"/>
    <col min="17" max="17" width="11.5703125" style="14" customWidth="1"/>
    <col min="18" max="18" width="11.85546875" style="14" customWidth="1"/>
    <col min="19" max="19" width="12.7109375" style="14" customWidth="1"/>
    <col min="20" max="21" width="11.5703125" style="14" customWidth="1"/>
    <col min="22" max="22" width="6.42578125" style="14" customWidth="1"/>
    <col min="23" max="23" width="12.42578125" style="14" customWidth="1"/>
    <col min="24" max="24" width="12.140625" style="14" customWidth="1"/>
    <col min="25" max="25" width="9.140625" style="14"/>
    <col min="26" max="26" width="10.85546875" style="14" customWidth="1"/>
    <col min="27" max="16384" width="9.140625" style="14"/>
  </cols>
  <sheetData>
    <row r="1" spans="1:26" ht="45" customHeight="1">
      <c r="A1" s="5" t="s">
        <v>20</v>
      </c>
      <c r="B1" s="5" t="s">
        <v>21</v>
      </c>
      <c r="C1" s="3" t="s">
        <v>22</v>
      </c>
      <c r="D1" s="2" t="s">
        <v>23</v>
      </c>
      <c r="E1" s="2" t="s">
        <v>51</v>
      </c>
      <c r="F1" s="2" t="s">
        <v>25</v>
      </c>
      <c r="G1" s="9" t="s">
        <v>39</v>
      </c>
      <c r="H1" s="2" t="s">
        <v>24</v>
      </c>
      <c r="I1" s="2" t="s">
        <v>53</v>
      </c>
      <c r="J1" s="10" t="s">
        <v>40</v>
      </c>
      <c r="K1" s="2" t="s">
        <v>26</v>
      </c>
      <c r="L1" s="11" t="s">
        <v>41</v>
      </c>
      <c r="M1" s="2" t="s">
        <v>44</v>
      </c>
      <c r="N1" s="2" t="s">
        <v>45</v>
      </c>
      <c r="O1" s="4" t="s">
        <v>47</v>
      </c>
      <c r="P1" s="12" t="s">
        <v>46</v>
      </c>
      <c r="Q1" s="5" t="s">
        <v>48</v>
      </c>
      <c r="R1" s="6" t="s">
        <v>49</v>
      </c>
      <c r="S1" s="6" t="s">
        <v>50</v>
      </c>
      <c r="T1" s="5" t="s">
        <v>52</v>
      </c>
      <c r="U1" s="6" t="s">
        <v>61</v>
      </c>
      <c r="V1" s="13" t="s">
        <v>54</v>
      </c>
      <c r="W1" s="6" t="s">
        <v>62</v>
      </c>
      <c r="X1" s="6" t="s">
        <v>68</v>
      </c>
      <c r="Z1" s="45" t="s">
        <v>69</v>
      </c>
    </row>
    <row r="2" spans="1:26">
      <c r="A2" s="7">
        <v>1</v>
      </c>
      <c r="B2" s="15" t="s">
        <v>27</v>
      </c>
      <c r="C2" s="16" t="s">
        <v>28</v>
      </c>
      <c r="D2" s="17" t="s">
        <v>59</v>
      </c>
      <c r="E2" s="18">
        <v>1739</v>
      </c>
      <c r="F2" s="18">
        <f>ROUND(PRODUCT(E2*50%),0)</f>
        <v>870</v>
      </c>
      <c r="G2" s="19">
        <f>SUM(E2:F2)</f>
        <v>2609</v>
      </c>
      <c r="H2" s="18">
        <f>ROUND(PRODUCT(G2*15%),0)</f>
        <v>391</v>
      </c>
      <c r="I2" s="20" t="s">
        <v>42</v>
      </c>
      <c r="J2" s="21">
        <f>ROUND(PRODUCT(G2+H2),0)</f>
        <v>3000</v>
      </c>
      <c r="K2" s="18">
        <f>ROUND(PRODUCT(J2*0%),0)</f>
        <v>0</v>
      </c>
      <c r="L2" s="22">
        <f>ROUND(PRODUCT(J2+K2),0)</f>
        <v>3000</v>
      </c>
      <c r="M2" s="18">
        <f>ROUND(PRODUCT(L2/4*3),0)</f>
        <v>2250</v>
      </c>
      <c r="N2" s="18">
        <f>ROUND(PRODUCT(M2+M2*15%),0)</f>
        <v>2588</v>
      </c>
      <c r="O2" s="18">
        <v>2200</v>
      </c>
      <c r="P2" s="23">
        <f>ROUND(PRODUCT(N2+O2),0)</f>
        <v>4788</v>
      </c>
      <c r="Q2" s="18">
        <f>ROUND(PRODUCT(P2+P2*8%),0)</f>
        <v>5171</v>
      </c>
      <c r="R2" s="18">
        <f>ROUND(PRODUCT(Q2+Q2*7.4%),0)</f>
        <v>5554</v>
      </c>
      <c r="S2" s="18">
        <f>ROUND(PRODUCT(R2+R2*10%),0)</f>
        <v>6109</v>
      </c>
      <c r="T2" s="29">
        <v>6124</v>
      </c>
      <c r="U2" s="18">
        <f>ROUND(PRODUCT(T2+T2*15%),0)</f>
        <v>7043</v>
      </c>
      <c r="V2" s="25">
        <f>U2</f>
        <v>7043</v>
      </c>
      <c r="W2" s="33">
        <v>9194</v>
      </c>
      <c r="X2" s="8">
        <v>347</v>
      </c>
      <c r="Y2" s="44">
        <f>W2+X2</f>
        <v>9541</v>
      </c>
      <c r="Z2" s="46">
        <f>Y2</f>
        <v>9541</v>
      </c>
    </row>
    <row r="3" spans="1:26">
      <c r="A3" s="7">
        <v>2</v>
      </c>
      <c r="B3" s="15" t="s">
        <v>29</v>
      </c>
      <c r="C3" s="16" t="s">
        <v>30</v>
      </c>
      <c r="D3" s="17" t="s">
        <v>67</v>
      </c>
      <c r="E3" s="18">
        <v>1739</v>
      </c>
      <c r="F3" s="18">
        <f>ROUND(PRODUCT(E3*40%),0)</f>
        <v>696</v>
      </c>
      <c r="G3" s="19">
        <f t="shared" ref="G3:G7" si="0">SUM(E3:F3)</f>
        <v>2435</v>
      </c>
      <c r="H3" s="18">
        <f>ROUND(PRODUCT(G3*25%),0)</f>
        <v>609</v>
      </c>
      <c r="I3" s="20" t="s">
        <v>43</v>
      </c>
      <c r="J3" s="21">
        <f t="shared" ref="J3:J6" si="1">ROUND(PRODUCT(G3+H3),0)</f>
        <v>3044</v>
      </c>
      <c r="K3" s="18">
        <f>ROUND(PRODUCT(J3*0%),0)</f>
        <v>0</v>
      </c>
      <c r="L3" s="22">
        <f>ROUND(PRODUCT(J3+K3),0)</f>
        <v>3044</v>
      </c>
      <c r="M3" s="18">
        <f>ROUND(PRODUCT(L3/4*3),0)</f>
        <v>2283</v>
      </c>
      <c r="N3" s="18">
        <f t="shared" ref="N3:N7" si="2">ROUND(PRODUCT(M3+M3*15%),0)</f>
        <v>2625</v>
      </c>
      <c r="O3" s="18">
        <v>1400</v>
      </c>
      <c r="P3" s="23">
        <f t="shared" ref="P3:P6" si="3">ROUND(PRODUCT(N3+O3),0)</f>
        <v>4025</v>
      </c>
      <c r="Q3" s="18">
        <f t="shared" ref="Q3:Q7" si="4">ROUND(PRODUCT(P3+P3*8%),0)</f>
        <v>4347</v>
      </c>
      <c r="R3" s="18">
        <f t="shared" ref="R3:R7" si="5">ROUND(PRODUCT(Q3+Q3*7.4%),0)</f>
        <v>4669</v>
      </c>
      <c r="S3" s="18">
        <f t="shared" ref="S3" si="6">ROUND(PRODUCT(R3+R3*10%),0)</f>
        <v>5136</v>
      </c>
      <c r="T3" s="31">
        <v>5136</v>
      </c>
      <c r="U3" s="18">
        <f>ROUND(PRODUCT(S3+S3*15%),0)</f>
        <v>5906</v>
      </c>
      <c r="V3" s="25">
        <f>U3</f>
        <v>5906</v>
      </c>
      <c r="W3" s="33">
        <v>7383</v>
      </c>
      <c r="X3" s="8">
        <v>347</v>
      </c>
      <c r="Y3" s="44">
        <f t="shared" ref="Y3:Y7" si="7">W3+X3</f>
        <v>7730</v>
      </c>
      <c r="Z3" s="8"/>
    </row>
    <row r="4" spans="1:26" ht="30">
      <c r="A4" s="8">
        <v>3</v>
      </c>
      <c r="B4" s="26" t="s">
        <v>31</v>
      </c>
      <c r="C4" s="26" t="s">
        <v>32</v>
      </c>
      <c r="D4" s="27" t="s">
        <v>55</v>
      </c>
      <c r="E4" s="28">
        <v>1739</v>
      </c>
      <c r="F4" s="18">
        <f>ROUND(PRODUCT(E4*0%),0)</f>
        <v>0</v>
      </c>
      <c r="G4" s="19">
        <f t="shared" si="0"/>
        <v>1739</v>
      </c>
      <c r="H4" s="18">
        <f>ROUND(PRODUCT(G4*25%),0)</f>
        <v>435</v>
      </c>
      <c r="I4" s="20" t="s">
        <v>43</v>
      </c>
      <c r="J4" s="21">
        <f t="shared" si="1"/>
        <v>2174</v>
      </c>
      <c r="K4" s="18">
        <f>ROUND(PRODUCT(J4*10%),0)</f>
        <v>217</v>
      </c>
      <c r="L4" s="22">
        <f t="shared" ref="L4:L7" si="8">ROUND(PRODUCT(J4+K4),0)</f>
        <v>2391</v>
      </c>
      <c r="M4" s="18">
        <f t="shared" ref="M4:M7" si="9">ROUND(PRODUCT(L4/4*3),0)</f>
        <v>1793</v>
      </c>
      <c r="N4" s="18">
        <f t="shared" si="2"/>
        <v>2062</v>
      </c>
      <c r="O4" s="24">
        <v>600</v>
      </c>
      <c r="P4" s="23">
        <f t="shared" si="3"/>
        <v>2662</v>
      </c>
      <c r="Q4" s="18">
        <f t="shared" si="4"/>
        <v>2875</v>
      </c>
      <c r="R4" s="18">
        <f t="shared" si="5"/>
        <v>3088</v>
      </c>
      <c r="S4" s="18">
        <f>ROUND(PRODUCT(R4+R4*10%),0)</f>
        <v>3397</v>
      </c>
      <c r="T4" s="30"/>
      <c r="U4" s="18">
        <f>ROUND(PRODUCT(S4+S4*15%),0)</f>
        <v>3907</v>
      </c>
      <c r="V4" s="25">
        <f t="shared" ref="V4:V7" si="10">U4</f>
        <v>3907</v>
      </c>
      <c r="W4" s="32">
        <f>ROUND(PRODUCT(V4+V4*25%),0)</f>
        <v>4884</v>
      </c>
      <c r="X4" s="8">
        <v>347</v>
      </c>
      <c r="Y4" s="44">
        <f t="shared" si="7"/>
        <v>5231</v>
      </c>
      <c r="Z4" s="8"/>
    </row>
    <row r="5" spans="1:26" ht="30">
      <c r="A5" s="8">
        <v>4</v>
      </c>
      <c r="B5" s="26" t="s">
        <v>34</v>
      </c>
      <c r="C5" s="26" t="s">
        <v>35</v>
      </c>
      <c r="D5" s="27" t="s">
        <v>55</v>
      </c>
      <c r="E5" s="28">
        <v>1739</v>
      </c>
      <c r="F5" s="18">
        <f>ROUND(PRODUCT(E5*0%),0)</f>
        <v>0</v>
      </c>
      <c r="G5" s="19">
        <f t="shared" si="0"/>
        <v>1739</v>
      </c>
      <c r="H5" s="18">
        <f>ROUND(PRODUCT(G5*25%),0)</f>
        <v>435</v>
      </c>
      <c r="I5" s="20" t="s">
        <v>43</v>
      </c>
      <c r="J5" s="21">
        <f t="shared" si="1"/>
        <v>2174</v>
      </c>
      <c r="K5" s="18">
        <f t="shared" ref="K5" si="11">ROUND(PRODUCT(J5*10%),0)</f>
        <v>217</v>
      </c>
      <c r="L5" s="22">
        <f t="shared" si="8"/>
        <v>2391</v>
      </c>
      <c r="M5" s="18">
        <f t="shared" si="9"/>
        <v>1793</v>
      </c>
      <c r="N5" s="18">
        <f t="shared" si="2"/>
        <v>2062</v>
      </c>
      <c r="O5" s="24">
        <v>600</v>
      </c>
      <c r="P5" s="23">
        <f t="shared" si="3"/>
        <v>2662</v>
      </c>
      <c r="Q5" s="18">
        <f t="shared" si="4"/>
        <v>2875</v>
      </c>
      <c r="R5" s="18">
        <f t="shared" si="5"/>
        <v>3088</v>
      </c>
      <c r="S5" s="18">
        <f>ROUND(PRODUCT(R5+R5*10%),0)</f>
        <v>3397</v>
      </c>
      <c r="T5" s="30"/>
      <c r="U5" s="18">
        <f>ROUND(PRODUCT(S5+S5*15%),0)</f>
        <v>3907</v>
      </c>
      <c r="V5" s="25">
        <f t="shared" si="10"/>
        <v>3907</v>
      </c>
      <c r="W5" s="32">
        <f t="shared" ref="W5:W6" si="12">ROUND(PRODUCT(V5+V5*25%),0)</f>
        <v>4884</v>
      </c>
      <c r="X5" s="8">
        <v>347</v>
      </c>
      <c r="Y5" s="44">
        <f t="shared" si="7"/>
        <v>5231</v>
      </c>
      <c r="Z5" s="8"/>
    </row>
    <row r="6" spans="1:26" ht="30">
      <c r="A6" s="8">
        <v>5</v>
      </c>
      <c r="B6" s="26" t="s">
        <v>36</v>
      </c>
      <c r="C6" s="26" t="s">
        <v>37</v>
      </c>
      <c r="D6" s="27" t="s">
        <v>57</v>
      </c>
      <c r="E6" s="28">
        <v>1523</v>
      </c>
      <c r="F6" s="18">
        <f>ROUND(PRODUCT(E6*0%),0)</f>
        <v>0</v>
      </c>
      <c r="G6" s="19">
        <f t="shared" si="0"/>
        <v>1523</v>
      </c>
      <c r="H6" s="18">
        <f>ROUND(PRODUCT(G6*25%),0)</f>
        <v>381</v>
      </c>
      <c r="I6" s="20" t="s">
        <v>43</v>
      </c>
      <c r="J6" s="21">
        <f t="shared" si="1"/>
        <v>1904</v>
      </c>
      <c r="K6" s="18">
        <f>ROUND(PRODUCT(J6*0%),0)</f>
        <v>0</v>
      </c>
      <c r="L6" s="22">
        <f t="shared" si="8"/>
        <v>1904</v>
      </c>
      <c r="M6" s="18">
        <f t="shared" si="9"/>
        <v>1428</v>
      </c>
      <c r="N6" s="18">
        <f t="shared" si="2"/>
        <v>1642</v>
      </c>
      <c r="O6" s="24">
        <v>600</v>
      </c>
      <c r="P6" s="23">
        <f t="shared" si="3"/>
        <v>2242</v>
      </c>
      <c r="Q6" s="18">
        <f t="shared" si="4"/>
        <v>2421</v>
      </c>
      <c r="R6" s="18">
        <f t="shared" si="5"/>
        <v>2600</v>
      </c>
      <c r="S6" s="18">
        <f>ROUND(PRODUCT(R6+R6*10%),0)-1</f>
        <v>2859</v>
      </c>
      <c r="T6" s="30"/>
      <c r="U6" s="18">
        <f>ROUND(PRODUCT(S6+S6*15%),0)</f>
        <v>3288</v>
      </c>
      <c r="V6" s="25">
        <f t="shared" si="10"/>
        <v>3288</v>
      </c>
      <c r="W6" s="32">
        <f t="shared" si="12"/>
        <v>4110</v>
      </c>
      <c r="X6" s="8">
        <v>347</v>
      </c>
      <c r="Y6" s="44">
        <f t="shared" si="7"/>
        <v>4457</v>
      </c>
      <c r="Z6" s="8"/>
    </row>
    <row r="7" spans="1:26" ht="30">
      <c r="A7" s="8">
        <v>6</v>
      </c>
      <c r="B7" s="26" t="s">
        <v>33</v>
      </c>
      <c r="C7" s="26" t="s">
        <v>38</v>
      </c>
      <c r="D7" s="27" t="s">
        <v>55</v>
      </c>
      <c r="E7" s="28">
        <v>1739</v>
      </c>
      <c r="F7" s="18">
        <f>ROUND(PRODUCT(E7*0%),0)</f>
        <v>0</v>
      </c>
      <c r="G7" s="19">
        <f t="shared" si="0"/>
        <v>1739</v>
      </c>
      <c r="H7" s="18">
        <f>ROUND(PRODUCT(G7*15%),0)</f>
        <v>261</v>
      </c>
      <c r="I7" s="20" t="s">
        <v>42</v>
      </c>
      <c r="J7" s="21">
        <f>ROUND(PRODUCT(G7+H7),0)</f>
        <v>2000</v>
      </c>
      <c r="K7" s="18">
        <f>ROUND(PRODUCT(J7*0%),0)</f>
        <v>0</v>
      </c>
      <c r="L7" s="22">
        <f t="shared" si="8"/>
        <v>2000</v>
      </c>
      <c r="M7" s="18">
        <f t="shared" si="9"/>
        <v>1500</v>
      </c>
      <c r="N7" s="18">
        <f t="shared" si="2"/>
        <v>1725</v>
      </c>
      <c r="O7" s="24">
        <v>600</v>
      </c>
      <c r="P7" s="23">
        <f>ROUND(PRODUCT(N7+O7),0)</f>
        <v>2325</v>
      </c>
      <c r="Q7" s="18">
        <f t="shared" si="4"/>
        <v>2511</v>
      </c>
      <c r="R7" s="18">
        <f t="shared" si="5"/>
        <v>2697</v>
      </c>
      <c r="S7" s="18">
        <f>ROUND(PRODUCT(R7+R7*10%),0)</f>
        <v>2967</v>
      </c>
      <c r="T7" s="30"/>
      <c r="U7" s="18">
        <f>ROUND(PRODUCT(S7+S7*15%),0)</f>
        <v>3412</v>
      </c>
      <c r="V7" s="25">
        <f t="shared" si="10"/>
        <v>3412</v>
      </c>
      <c r="W7" s="32">
        <f>ROUND(PRODUCT(V7+V7*25%),0)</f>
        <v>4265</v>
      </c>
      <c r="X7" s="8">
        <v>347</v>
      </c>
      <c r="Y7" s="44">
        <f t="shared" si="7"/>
        <v>4612</v>
      </c>
      <c r="Z7" s="8"/>
    </row>
    <row r="8" spans="1:26">
      <c r="W8" s="34">
        <f>SUM(W2:W7)</f>
        <v>34720</v>
      </c>
    </row>
    <row r="10" spans="1:26">
      <c r="K10" s="14" t="s">
        <v>1</v>
      </c>
      <c r="L10" s="14" t="s">
        <v>60</v>
      </c>
    </row>
    <row r="11" spans="1:26">
      <c r="K11" s="14">
        <v>344</v>
      </c>
      <c r="O11" s="14" t="s">
        <v>63</v>
      </c>
    </row>
    <row r="13" spans="1:26">
      <c r="N13" s="42">
        <f>SUM(W8*12)+372</f>
        <v>417012</v>
      </c>
      <c r="O13" s="43"/>
      <c r="P13" s="43">
        <v>6</v>
      </c>
      <c r="Q13" s="14" t="s">
        <v>64</v>
      </c>
    </row>
    <row r="14" spans="1:26">
      <c r="N14" s="35">
        <f>SUM(N13*25%)+750</f>
        <v>105003</v>
      </c>
      <c r="P14" s="36">
        <v>0.25</v>
      </c>
      <c r="Q14" s="14" t="s">
        <v>65</v>
      </c>
    </row>
    <row r="15" spans="1:26">
      <c r="N15" s="35"/>
    </row>
    <row r="16" spans="1:26">
      <c r="N16" s="40">
        <f>SUM(N13:N15)</f>
        <v>522015</v>
      </c>
      <c r="O16" s="41"/>
      <c r="P16" s="41" t="s">
        <v>7</v>
      </c>
    </row>
    <row r="17" spans="14:17">
      <c r="N17" s="37">
        <f>SUM(N16*2.25%)+255</f>
        <v>12000.3375</v>
      </c>
      <c r="O17" s="38"/>
      <c r="P17" s="39">
        <v>2.2499999999999999E-2</v>
      </c>
      <c r="Q17" s="14" t="s">
        <v>66</v>
      </c>
    </row>
    <row r="18" spans="14:17">
      <c r="N18" s="35">
        <f>SUM(N16:N17)</f>
        <v>534015.33750000002</v>
      </c>
    </row>
  </sheetData>
  <pageMargins left="0" right="0" top="0.59055118110236227" bottom="0" header="0.51181102362204722" footer="0.51181102362204722"/>
  <pageSetup scale="5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2019</vt:lpstr>
      <vt:lpstr>stat de personal</vt:lpstr>
      <vt:lpstr>stat personal amanuntit</vt:lpstr>
      <vt:lpstr>Sheet1</vt:lpstr>
      <vt:lpstr>'stat de personal'!Print_Area</vt:lpstr>
    </vt:vector>
  </TitlesOfParts>
  <Company>ANOFM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Serban</dc:creator>
  <cp:lastModifiedBy>RATIO Mures</cp:lastModifiedBy>
  <cp:lastPrinted>2019-03-14T12:50:34Z</cp:lastPrinted>
  <dcterms:created xsi:type="dcterms:W3CDTF">2014-11-24T11:44:06Z</dcterms:created>
  <dcterms:modified xsi:type="dcterms:W3CDTF">2019-03-14T13:01:30Z</dcterms:modified>
</cp:coreProperties>
</file>